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Updated web pages\Past results\"/>
    </mc:Choice>
  </mc:AlternateContent>
  <bookViews>
    <workbookView xWindow="0" yWindow="0" windowWidth="28800" windowHeight="12435"/>
  </bookViews>
  <sheets>
    <sheet name="Results" sheetId="1" r:id="rId1"/>
    <sheet name="Club Trophy" sheetId="2" r:id="rId2"/>
    <sheet name="Jells Relay" sheetId="6" state="hidden" r:id="rId3"/>
    <sheet name="Road Relays" sheetId="8" state="hidden" r:id="rId4"/>
    <sheet name="Tan Relays" sheetId="7" r:id="rId5"/>
    <sheet name="Athletes" sheetId="3" state="hidden" r:id="rId6"/>
    <sheet name="Ekiden Relay" sheetId="10" state="hidden" r:id="rId7"/>
    <sheet name="Weekends" sheetId="9" state="hidden" r:id="rId8"/>
  </sheets>
  <definedNames>
    <definedName name="_xlnm.Print_Area" localSheetId="5">Athletes!$A$1:$S$55</definedName>
    <definedName name="_xlnm.Print_Area" localSheetId="1">'Club Trophy'!$A$1:$O$56</definedName>
    <definedName name="_xlnm.Print_Area" localSheetId="6">'Ekiden Relay'!$A$1:$G$22</definedName>
    <definedName name="_xlnm.Print_Area" localSheetId="2">'Jells Relay'!$A$1:$K$20</definedName>
    <definedName name="_xlnm.Print_Area" localSheetId="0">Results!$A$1:$V$137</definedName>
    <definedName name="_xlnm.Print_Area" localSheetId="3">'Road Relays'!$A$1:$H$21</definedName>
    <definedName name="_xlnm.Print_Area" localSheetId="4">'Tan Relays'!$B$1:$G$25</definedName>
    <definedName name="_xlnm.Print_Area" localSheetId="7">Weekends!$A$17:$L$48</definedName>
    <definedName name="_xlnm.Print_Titles" localSheetId="5">Athletes!$1:$2</definedName>
    <definedName name="_xlnm.Print_Titles" localSheetId="0">Results!$1:$2</definedName>
  </definedNames>
  <calcPr calcId="171027"/>
</workbook>
</file>

<file path=xl/calcChain.xml><?xml version="1.0" encoding="utf-8"?>
<calcChain xmlns="http://schemas.openxmlformats.org/spreadsheetml/2006/main">
  <c r="A15" i="2" l="1"/>
  <c r="A16" i="2"/>
  <c r="A17" i="2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J29" i="2"/>
  <c r="F29" i="2"/>
  <c r="L29" i="2"/>
  <c r="K29" i="2"/>
  <c r="I29" i="2"/>
  <c r="H29" i="2"/>
  <c r="G29" i="2"/>
  <c r="E29" i="2"/>
  <c r="D29" i="2"/>
  <c r="C29" i="2"/>
  <c r="B29" i="2"/>
  <c r="M29" i="2" l="1"/>
  <c r="O137" i="1"/>
  <c r="L22" i="2"/>
  <c r="K22" i="2"/>
  <c r="I22" i="2"/>
  <c r="H22" i="2"/>
  <c r="G22" i="2"/>
  <c r="F22" i="2"/>
  <c r="E22" i="2"/>
  <c r="D22" i="2"/>
  <c r="C22" i="2"/>
  <c r="P52" i="8" l="1"/>
  <c r="P43" i="8"/>
  <c r="P31" i="8"/>
  <c r="P23" i="8"/>
  <c r="P21" i="8"/>
  <c r="P20" i="8"/>
  <c r="P18" i="8"/>
  <c r="P8" i="8"/>
  <c r="P7" i="8"/>
  <c r="P20" i="3" l="1"/>
  <c r="I20" i="3"/>
  <c r="H20" i="3"/>
  <c r="P34" i="3"/>
  <c r="I34" i="3"/>
  <c r="D34" i="3"/>
  <c r="L17" i="2" l="1"/>
  <c r="K17" i="2"/>
  <c r="I17" i="2"/>
  <c r="H17" i="2"/>
  <c r="G17" i="2"/>
  <c r="F17" i="2"/>
  <c r="E17" i="2"/>
  <c r="D17" i="2"/>
  <c r="C17" i="2"/>
  <c r="J17" i="2" s="1"/>
  <c r="B17" i="2"/>
  <c r="V18" i="1"/>
  <c r="M17" i="2" l="1"/>
  <c r="U137" i="1" l="1"/>
  <c r="S137" i="1"/>
  <c r="Q137" i="1"/>
  <c r="M137" i="1"/>
  <c r="K137" i="1"/>
  <c r="I137" i="1"/>
  <c r="C137" i="1"/>
  <c r="E137" i="1"/>
  <c r="G137" i="1"/>
  <c r="J6" i="2" l="1"/>
  <c r="L26" i="2"/>
  <c r="K26" i="2"/>
  <c r="I26" i="2"/>
  <c r="H26" i="2"/>
  <c r="G26" i="2"/>
  <c r="F26" i="2"/>
  <c r="E26" i="2"/>
  <c r="D26" i="2"/>
  <c r="C26" i="2"/>
  <c r="B26" i="2"/>
  <c r="P55" i="3"/>
  <c r="I55" i="3"/>
  <c r="D55" i="3"/>
  <c r="I54" i="3"/>
  <c r="P53" i="3"/>
  <c r="I53" i="3"/>
  <c r="P52" i="3"/>
  <c r="I52" i="3"/>
  <c r="P51" i="3"/>
  <c r="I51" i="3"/>
  <c r="P50" i="3"/>
  <c r="I50" i="3"/>
  <c r="P49" i="3"/>
  <c r="I49" i="3"/>
  <c r="P48" i="3"/>
  <c r="I48" i="3"/>
  <c r="P47" i="3"/>
  <c r="I47" i="3"/>
  <c r="P46" i="3"/>
  <c r="I46" i="3"/>
  <c r="D46" i="3"/>
  <c r="P45" i="3"/>
  <c r="I45" i="3"/>
  <c r="H45" i="3"/>
  <c r="P44" i="3"/>
  <c r="I44" i="3"/>
  <c r="P43" i="3"/>
  <c r="I43" i="3"/>
  <c r="H43" i="3"/>
  <c r="I42" i="3"/>
  <c r="P41" i="3"/>
  <c r="I41" i="3"/>
  <c r="I40" i="3"/>
  <c r="P39" i="3"/>
  <c r="I39" i="3"/>
  <c r="P38" i="3"/>
  <c r="I38" i="3"/>
  <c r="P37" i="3"/>
  <c r="I37" i="3"/>
  <c r="P36" i="3"/>
  <c r="I36" i="3"/>
  <c r="P35" i="3"/>
  <c r="I35" i="3"/>
  <c r="P33" i="3"/>
  <c r="I33" i="3"/>
  <c r="I32" i="3"/>
  <c r="P31" i="3"/>
  <c r="I31" i="3"/>
  <c r="H31" i="3"/>
  <c r="P30" i="3"/>
  <c r="I30" i="3"/>
  <c r="P29" i="3"/>
  <c r="I29" i="3"/>
  <c r="P28" i="3"/>
  <c r="I28" i="3"/>
  <c r="I27" i="3"/>
  <c r="P26" i="3"/>
  <c r="I26" i="3"/>
  <c r="D26" i="3"/>
  <c r="P25" i="3"/>
  <c r="I25" i="3"/>
  <c r="I24" i="3"/>
  <c r="D24" i="3"/>
  <c r="I23" i="3"/>
  <c r="D23" i="3"/>
  <c r="P22" i="3"/>
  <c r="I22" i="3"/>
  <c r="P21" i="3"/>
  <c r="I21" i="3"/>
  <c r="H21" i="3"/>
  <c r="D21" i="3"/>
  <c r="P19" i="3"/>
  <c r="I19" i="3"/>
  <c r="I18" i="3"/>
  <c r="P17" i="3"/>
  <c r="I17" i="3"/>
  <c r="H17" i="3"/>
  <c r="P16" i="3"/>
  <c r="I16" i="3"/>
  <c r="P15" i="3"/>
  <c r="I15" i="3"/>
  <c r="P14" i="3"/>
  <c r="I14" i="3"/>
  <c r="P13" i="3"/>
  <c r="I13" i="3"/>
  <c r="H13" i="3"/>
  <c r="P12" i="3"/>
  <c r="I12" i="3"/>
  <c r="H12" i="3"/>
  <c r="P11" i="3"/>
  <c r="I11" i="3"/>
  <c r="D11" i="3"/>
  <c r="P10" i="3"/>
  <c r="I10" i="3"/>
  <c r="D10" i="3"/>
  <c r="P9" i="3"/>
  <c r="I9" i="3"/>
  <c r="P8" i="3"/>
  <c r="I8" i="3"/>
  <c r="P7" i="3"/>
  <c r="I7" i="3"/>
  <c r="P6" i="3"/>
  <c r="I6" i="3"/>
  <c r="M26" i="2" l="1"/>
  <c r="L47" i="2"/>
  <c r="K47" i="2"/>
  <c r="I47" i="2"/>
  <c r="H47" i="2"/>
  <c r="G47" i="2"/>
  <c r="F47" i="2"/>
  <c r="E47" i="2"/>
  <c r="D47" i="2"/>
  <c r="C47" i="2"/>
  <c r="L46" i="2"/>
  <c r="K46" i="2"/>
  <c r="I46" i="2"/>
  <c r="H46" i="2"/>
  <c r="G46" i="2"/>
  <c r="F46" i="2"/>
  <c r="E46" i="2"/>
  <c r="D46" i="2"/>
  <c r="C46" i="2"/>
  <c r="L14" i="2"/>
  <c r="K14" i="2"/>
  <c r="I14" i="2"/>
  <c r="H14" i="2"/>
  <c r="G14" i="2"/>
  <c r="F14" i="2"/>
  <c r="E14" i="2"/>
  <c r="D14" i="2"/>
  <c r="C14" i="2"/>
  <c r="L45" i="2"/>
  <c r="K45" i="2"/>
  <c r="I45" i="2"/>
  <c r="H45" i="2"/>
  <c r="G45" i="2"/>
  <c r="F45" i="2"/>
  <c r="E45" i="2"/>
  <c r="D45" i="2"/>
  <c r="C45" i="2"/>
  <c r="L48" i="2"/>
  <c r="K48" i="2"/>
  <c r="I48" i="2"/>
  <c r="H48" i="2"/>
  <c r="G48" i="2"/>
  <c r="F48" i="2"/>
  <c r="E48" i="2"/>
  <c r="D48" i="2"/>
  <c r="C48" i="2"/>
  <c r="L55" i="2"/>
  <c r="K55" i="2"/>
  <c r="I55" i="2"/>
  <c r="H55" i="2"/>
  <c r="G55" i="2"/>
  <c r="F55" i="2"/>
  <c r="E55" i="2"/>
  <c r="D55" i="2"/>
  <c r="C55" i="2"/>
  <c r="L41" i="2"/>
  <c r="K41" i="2"/>
  <c r="I41" i="2"/>
  <c r="H41" i="2"/>
  <c r="G41" i="2"/>
  <c r="F41" i="2"/>
  <c r="E41" i="2"/>
  <c r="D41" i="2"/>
  <c r="C41" i="2"/>
  <c r="L35" i="2"/>
  <c r="K35" i="2"/>
  <c r="I35" i="2"/>
  <c r="H35" i="2"/>
  <c r="G35" i="2"/>
  <c r="F35" i="2"/>
  <c r="E35" i="2"/>
  <c r="D35" i="2"/>
  <c r="C35" i="2"/>
  <c r="J35" i="2" s="1"/>
  <c r="L31" i="2"/>
  <c r="K31" i="2"/>
  <c r="I31" i="2"/>
  <c r="H31" i="2"/>
  <c r="G31" i="2"/>
  <c r="F31" i="2"/>
  <c r="E31" i="2"/>
  <c r="D31" i="2"/>
  <c r="C31" i="2"/>
  <c r="L24" i="2"/>
  <c r="K24" i="2"/>
  <c r="I24" i="2"/>
  <c r="H24" i="2"/>
  <c r="G24" i="2"/>
  <c r="F24" i="2"/>
  <c r="E24" i="2"/>
  <c r="D24" i="2"/>
  <c r="C24" i="2"/>
  <c r="L19" i="2"/>
  <c r="K19" i="2"/>
  <c r="I19" i="2"/>
  <c r="H19" i="2"/>
  <c r="G19" i="2"/>
  <c r="F19" i="2"/>
  <c r="E19" i="2"/>
  <c r="D19" i="2"/>
  <c r="C19" i="2"/>
  <c r="L37" i="2"/>
  <c r="K37" i="2"/>
  <c r="I37" i="2"/>
  <c r="H37" i="2"/>
  <c r="G37" i="2"/>
  <c r="F37" i="2"/>
  <c r="E37" i="2"/>
  <c r="D37" i="2"/>
  <c r="C37" i="2"/>
  <c r="L8" i="2"/>
  <c r="K8" i="2"/>
  <c r="I8" i="2"/>
  <c r="H8" i="2"/>
  <c r="G8" i="2"/>
  <c r="F8" i="2"/>
  <c r="E8" i="2"/>
  <c r="D8" i="2"/>
  <c r="C8" i="2"/>
  <c r="L20" i="2"/>
  <c r="K20" i="2"/>
  <c r="I20" i="2"/>
  <c r="H20" i="2"/>
  <c r="G20" i="2"/>
  <c r="F20" i="2"/>
  <c r="E20" i="2"/>
  <c r="D20" i="2"/>
  <c r="C20" i="2"/>
  <c r="L7" i="2"/>
  <c r="K7" i="2"/>
  <c r="I7" i="2"/>
  <c r="H7" i="2"/>
  <c r="G7" i="2"/>
  <c r="F7" i="2"/>
  <c r="E7" i="2"/>
  <c r="D7" i="2"/>
  <c r="C7" i="2"/>
  <c r="L49" i="2"/>
  <c r="K49" i="2"/>
  <c r="I49" i="2"/>
  <c r="H49" i="2"/>
  <c r="G49" i="2"/>
  <c r="F49" i="2"/>
  <c r="E49" i="2"/>
  <c r="D49" i="2"/>
  <c r="C49" i="2"/>
  <c r="L34" i="2"/>
  <c r="K34" i="2"/>
  <c r="I34" i="2"/>
  <c r="H34" i="2"/>
  <c r="G34" i="2"/>
  <c r="F34" i="2"/>
  <c r="E34" i="2"/>
  <c r="D34" i="2"/>
  <c r="C34" i="2"/>
  <c r="L42" i="2"/>
  <c r="K42" i="2"/>
  <c r="I42" i="2"/>
  <c r="H42" i="2"/>
  <c r="G42" i="2"/>
  <c r="F42" i="2"/>
  <c r="E42" i="2"/>
  <c r="D42" i="2"/>
  <c r="C42" i="2"/>
  <c r="L32" i="2"/>
  <c r="K32" i="2"/>
  <c r="I32" i="2"/>
  <c r="H32" i="2"/>
  <c r="G32" i="2"/>
  <c r="F32" i="2"/>
  <c r="E32" i="2"/>
  <c r="D32" i="2"/>
  <c r="C32" i="2"/>
  <c r="L12" i="2"/>
  <c r="K12" i="2"/>
  <c r="I12" i="2"/>
  <c r="H12" i="2"/>
  <c r="G12" i="2"/>
  <c r="F12" i="2"/>
  <c r="E12" i="2"/>
  <c r="D12" i="2"/>
  <c r="C12" i="2"/>
  <c r="J12" i="2" s="1"/>
  <c r="B47" i="2"/>
  <c r="B46" i="2"/>
  <c r="B14" i="2"/>
  <c r="B45" i="2"/>
  <c r="B48" i="2"/>
  <c r="B55" i="2"/>
  <c r="B41" i="2"/>
  <c r="B35" i="2"/>
  <c r="B31" i="2"/>
  <c r="B24" i="2"/>
  <c r="B19" i="2"/>
  <c r="B37" i="2"/>
  <c r="B8" i="2"/>
  <c r="B20" i="2"/>
  <c r="B7" i="2"/>
  <c r="B22" i="2"/>
  <c r="B49" i="2"/>
  <c r="B34" i="2"/>
  <c r="B42" i="2"/>
  <c r="B32" i="2"/>
  <c r="B12" i="2"/>
  <c r="L51" i="2"/>
  <c r="K51" i="2"/>
  <c r="I51" i="2"/>
  <c r="H51" i="2"/>
  <c r="G51" i="2"/>
  <c r="F51" i="2"/>
  <c r="E51" i="2"/>
  <c r="D51" i="2"/>
  <c r="C51" i="2"/>
  <c r="B51" i="2"/>
  <c r="L50" i="2"/>
  <c r="K50" i="2"/>
  <c r="I50" i="2"/>
  <c r="H50" i="2"/>
  <c r="G50" i="2"/>
  <c r="F50" i="2"/>
  <c r="E50" i="2"/>
  <c r="D50" i="2"/>
  <c r="C50" i="2"/>
  <c r="B50" i="2"/>
  <c r="L44" i="2"/>
  <c r="K44" i="2"/>
  <c r="I44" i="2"/>
  <c r="H44" i="2"/>
  <c r="G44" i="2"/>
  <c r="F44" i="2"/>
  <c r="E44" i="2"/>
  <c r="D44" i="2"/>
  <c r="C44" i="2"/>
  <c r="B44" i="2"/>
  <c r="L39" i="2"/>
  <c r="K39" i="2"/>
  <c r="I39" i="2"/>
  <c r="H39" i="2"/>
  <c r="G39" i="2"/>
  <c r="F39" i="2"/>
  <c r="E39" i="2"/>
  <c r="D39" i="2"/>
  <c r="C39" i="2"/>
  <c r="J39" i="2" s="1"/>
  <c r="B39" i="2"/>
  <c r="L36" i="2"/>
  <c r="K36" i="2"/>
  <c r="I36" i="2"/>
  <c r="H36" i="2"/>
  <c r="G36" i="2"/>
  <c r="F36" i="2"/>
  <c r="E36" i="2"/>
  <c r="D36" i="2"/>
  <c r="C36" i="2"/>
  <c r="B36" i="2"/>
  <c r="L25" i="2"/>
  <c r="K25" i="2"/>
  <c r="I25" i="2"/>
  <c r="H25" i="2"/>
  <c r="G25" i="2"/>
  <c r="F25" i="2"/>
  <c r="E25" i="2"/>
  <c r="D25" i="2"/>
  <c r="C25" i="2"/>
  <c r="B25" i="2"/>
  <c r="L30" i="2"/>
  <c r="K30" i="2"/>
  <c r="I30" i="2"/>
  <c r="H30" i="2"/>
  <c r="G30" i="2"/>
  <c r="F30" i="2"/>
  <c r="E30" i="2"/>
  <c r="D30" i="2"/>
  <c r="C30" i="2"/>
  <c r="B30" i="2"/>
  <c r="L43" i="2"/>
  <c r="K43" i="2"/>
  <c r="I43" i="2"/>
  <c r="H43" i="2"/>
  <c r="G43" i="2"/>
  <c r="F43" i="2"/>
  <c r="E43" i="2"/>
  <c r="D43" i="2"/>
  <c r="C43" i="2"/>
  <c r="B43" i="2"/>
  <c r="L40" i="2"/>
  <c r="K40" i="2"/>
  <c r="I40" i="2"/>
  <c r="H40" i="2"/>
  <c r="G40" i="2"/>
  <c r="F40" i="2"/>
  <c r="E40" i="2"/>
  <c r="D40" i="2"/>
  <c r="C40" i="2"/>
  <c r="B40" i="2"/>
  <c r="L38" i="2"/>
  <c r="K38" i="2"/>
  <c r="I38" i="2"/>
  <c r="H38" i="2"/>
  <c r="G38" i="2"/>
  <c r="F38" i="2"/>
  <c r="E38" i="2"/>
  <c r="D38" i="2"/>
  <c r="J38" i="2" s="1"/>
  <c r="C38" i="2"/>
  <c r="B38" i="2"/>
  <c r="L15" i="2"/>
  <c r="K15" i="2"/>
  <c r="I15" i="2"/>
  <c r="H15" i="2"/>
  <c r="G15" i="2"/>
  <c r="F15" i="2"/>
  <c r="E15" i="2"/>
  <c r="D15" i="2"/>
  <c r="C15" i="2"/>
  <c r="B15" i="2"/>
  <c r="L33" i="2"/>
  <c r="K33" i="2"/>
  <c r="I33" i="2"/>
  <c r="H33" i="2"/>
  <c r="G33" i="2"/>
  <c r="F33" i="2"/>
  <c r="E33" i="2"/>
  <c r="D33" i="2"/>
  <c r="C33" i="2"/>
  <c r="B33" i="2"/>
  <c r="L54" i="2"/>
  <c r="K54" i="2"/>
  <c r="I54" i="2"/>
  <c r="H54" i="2"/>
  <c r="G54" i="2"/>
  <c r="F54" i="2"/>
  <c r="E54" i="2"/>
  <c r="D54" i="2"/>
  <c r="C54" i="2"/>
  <c r="B54" i="2"/>
  <c r="L9" i="2"/>
  <c r="K9" i="2"/>
  <c r="I9" i="2"/>
  <c r="H9" i="2"/>
  <c r="G9" i="2"/>
  <c r="F9" i="2"/>
  <c r="E9" i="2"/>
  <c r="D9" i="2"/>
  <c r="C9" i="2"/>
  <c r="B9" i="2"/>
  <c r="L53" i="2"/>
  <c r="K53" i="2"/>
  <c r="I53" i="2"/>
  <c r="H53" i="2"/>
  <c r="G53" i="2"/>
  <c r="F53" i="2"/>
  <c r="E53" i="2"/>
  <c r="D53" i="2"/>
  <c r="C53" i="2"/>
  <c r="B53" i="2"/>
  <c r="L10" i="2"/>
  <c r="K10" i="2"/>
  <c r="I10" i="2"/>
  <c r="H10" i="2"/>
  <c r="G10" i="2"/>
  <c r="F10" i="2"/>
  <c r="E10" i="2"/>
  <c r="D10" i="2"/>
  <c r="C10" i="2"/>
  <c r="J10" i="2" s="1"/>
  <c r="B10" i="2"/>
  <c r="L27" i="2"/>
  <c r="K27" i="2"/>
  <c r="I27" i="2"/>
  <c r="H27" i="2"/>
  <c r="G27" i="2"/>
  <c r="F27" i="2"/>
  <c r="E27" i="2"/>
  <c r="D27" i="2"/>
  <c r="C27" i="2"/>
  <c r="B27" i="2"/>
  <c r="L16" i="2"/>
  <c r="K16" i="2"/>
  <c r="I16" i="2"/>
  <c r="H16" i="2"/>
  <c r="G16" i="2"/>
  <c r="F16" i="2"/>
  <c r="E16" i="2"/>
  <c r="D16" i="2"/>
  <c r="C16" i="2"/>
  <c r="J16" i="2" s="1"/>
  <c r="B16" i="2"/>
  <c r="L52" i="2"/>
  <c r="K52" i="2"/>
  <c r="I52" i="2"/>
  <c r="H52" i="2"/>
  <c r="G52" i="2"/>
  <c r="F52" i="2"/>
  <c r="E52" i="2"/>
  <c r="D52" i="2"/>
  <c r="C52" i="2"/>
  <c r="B52" i="2"/>
  <c r="L21" i="2"/>
  <c r="K21" i="2"/>
  <c r="I21" i="2"/>
  <c r="H21" i="2"/>
  <c r="G21" i="2"/>
  <c r="F21" i="2"/>
  <c r="E21" i="2"/>
  <c r="D21" i="2"/>
  <c r="C21" i="2"/>
  <c r="J21" i="2" s="1"/>
  <c r="B21" i="2"/>
  <c r="L28" i="2"/>
  <c r="K28" i="2"/>
  <c r="I28" i="2"/>
  <c r="H28" i="2"/>
  <c r="G28" i="2"/>
  <c r="F28" i="2"/>
  <c r="E28" i="2"/>
  <c r="D28" i="2"/>
  <c r="C28" i="2"/>
  <c r="B28" i="2"/>
  <c r="L18" i="2"/>
  <c r="K18" i="2"/>
  <c r="I18" i="2"/>
  <c r="H18" i="2"/>
  <c r="G18" i="2"/>
  <c r="F18" i="2"/>
  <c r="E18" i="2"/>
  <c r="D18" i="2"/>
  <c r="C18" i="2"/>
  <c r="B18" i="2"/>
  <c r="L11" i="2"/>
  <c r="K11" i="2"/>
  <c r="I11" i="2"/>
  <c r="H11" i="2"/>
  <c r="G11" i="2"/>
  <c r="F11" i="2"/>
  <c r="E11" i="2"/>
  <c r="D11" i="2"/>
  <c r="C11" i="2"/>
  <c r="B11" i="2"/>
  <c r="L23" i="2"/>
  <c r="K23" i="2"/>
  <c r="I23" i="2"/>
  <c r="H23" i="2"/>
  <c r="G23" i="2"/>
  <c r="F23" i="2"/>
  <c r="E23" i="2"/>
  <c r="D23" i="2"/>
  <c r="C23" i="2"/>
  <c r="B23" i="2"/>
  <c r="L13" i="2"/>
  <c r="K13" i="2"/>
  <c r="I13" i="2"/>
  <c r="H13" i="2"/>
  <c r="G13" i="2"/>
  <c r="F13" i="2"/>
  <c r="E13" i="2"/>
  <c r="D13" i="2"/>
  <c r="C13" i="2"/>
  <c r="B13" i="2"/>
  <c r="V106" i="1"/>
  <c r="J32" i="2" l="1"/>
  <c r="M32" i="2" s="1"/>
  <c r="J7" i="2"/>
  <c r="J19" i="2"/>
  <c r="M19" i="2" s="1"/>
  <c r="J14" i="2"/>
  <c r="M14" i="2" s="1"/>
  <c r="J27" i="2"/>
  <c r="M27" i="2" s="1"/>
  <c r="J15" i="2"/>
  <c r="J30" i="2"/>
  <c r="J20" i="2"/>
  <c r="M20" i="2" s="1"/>
  <c r="J24" i="2"/>
  <c r="J8" i="2"/>
  <c r="M8" i="2" s="1"/>
  <c r="J31" i="2"/>
  <c r="M39" i="2"/>
  <c r="M50" i="2"/>
  <c r="M18" i="2"/>
  <c r="M16" i="2"/>
  <c r="M21" i="2"/>
  <c r="M10" i="2"/>
  <c r="M9" i="2"/>
  <c r="M43" i="2"/>
  <c r="M25" i="2"/>
  <c r="M7" i="2"/>
  <c r="M35" i="2"/>
  <c r="M52" i="2"/>
  <c r="M53" i="2"/>
  <c r="M23" i="2"/>
  <c r="M28" i="2"/>
  <c r="M33" i="2"/>
  <c r="M30" i="2"/>
  <c r="M44" i="2"/>
  <c r="M12" i="2"/>
  <c r="M54" i="2"/>
  <c r="M40" i="2"/>
  <c r="M49" i="2"/>
  <c r="M41" i="2"/>
  <c r="M46" i="2"/>
  <c r="M22" i="2"/>
  <c r="M37" i="2"/>
  <c r="M31" i="2"/>
  <c r="M48" i="2"/>
  <c r="V137" i="1"/>
  <c r="M24" i="2" l="1"/>
  <c r="M38" i="2"/>
  <c r="M15" i="2"/>
  <c r="M11" i="2"/>
  <c r="M47" i="2"/>
  <c r="M36" i="2"/>
  <c r="M34" i="2"/>
  <c r="M45" i="2"/>
  <c r="M55" i="2"/>
  <c r="M42" i="2"/>
  <c r="M51" i="2"/>
  <c r="T6" i="6"/>
  <c r="T7" i="6"/>
  <c r="T27" i="6"/>
  <c r="T28" i="6"/>
  <c r="T8" i="6"/>
  <c r="T19" i="6"/>
  <c r="T13" i="6"/>
  <c r="T21" i="6"/>
  <c r="T15" i="6"/>
  <c r="T29" i="6"/>
  <c r="T20" i="6"/>
  <c r="T14" i="6"/>
  <c r="T23" i="6"/>
  <c r="T24" i="6"/>
  <c r="T25" i="6"/>
  <c r="T36" i="6"/>
  <c r="T39" i="6"/>
  <c r="T42" i="6"/>
  <c r="T43" i="6"/>
  <c r="T47" i="6"/>
  <c r="T48" i="6"/>
  <c r="T49" i="6"/>
  <c r="T5" i="6"/>
  <c r="V23" i="1" l="1"/>
  <c r="V49" i="1"/>
  <c r="V87" i="1" l="1"/>
  <c r="BD6" i="3"/>
  <c r="BD7" i="3"/>
  <c r="BD8" i="3"/>
  <c r="BD9" i="3"/>
  <c r="BD10" i="3"/>
  <c r="BD11" i="3"/>
  <c r="BD12" i="3"/>
  <c r="BD13" i="3"/>
  <c r="BD14" i="3"/>
  <c r="BD15" i="3"/>
  <c r="BD16" i="3"/>
  <c r="BD17" i="3"/>
  <c r="BD18" i="3"/>
  <c r="BD19" i="3"/>
  <c r="BD21" i="3"/>
  <c r="BD22" i="3"/>
  <c r="BD23" i="3"/>
  <c r="BD24" i="3"/>
  <c r="BD25" i="3"/>
  <c r="BD26" i="3"/>
  <c r="BD27" i="3"/>
  <c r="BD28" i="3"/>
  <c r="BD29" i="3"/>
  <c r="BD30" i="3"/>
  <c r="BD31" i="3"/>
  <c r="BD32" i="3"/>
  <c r="BD33" i="3"/>
  <c r="BD35" i="3"/>
  <c r="BD36" i="3"/>
  <c r="BD37" i="3"/>
  <c r="BD38" i="3"/>
  <c r="BD40" i="3"/>
  <c r="BD41" i="3"/>
  <c r="BD42" i="3"/>
  <c r="BD43" i="3"/>
  <c r="BD44" i="3"/>
  <c r="BD45" i="3"/>
  <c r="BD46" i="3"/>
  <c r="BD47" i="3"/>
  <c r="BD48" i="3"/>
  <c r="BD49" i="3"/>
  <c r="BD50" i="3"/>
  <c r="BD51" i="3"/>
  <c r="BD52" i="3"/>
  <c r="BD53" i="3"/>
  <c r="BD54" i="3"/>
  <c r="BD55" i="3"/>
  <c r="BD56" i="3"/>
  <c r="BD57" i="3"/>
  <c r="BD58" i="3"/>
  <c r="BD59" i="3"/>
  <c r="BD61" i="3"/>
  <c r="BD62" i="3"/>
  <c r="BD63" i="3"/>
  <c r="BD65" i="3"/>
  <c r="BD66" i="3"/>
  <c r="BD67" i="3"/>
  <c r="BD68" i="3"/>
  <c r="BD69" i="3"/>
  <c r="BD70" i="3"/>
  <c r="BD72" i="3"/>
  <c r="BD73" i="3"/>
  <c r="BD74" i="3"/>
  <c r="BD76" i="3"/>
  <c r="BD77" i="3"/>
  <c r="AV79" i="3"/>
  <c r="AW79" i="3"/>
  <c r="AX79" i="3"/>
  <c r="AY79" i="3"/>
  <c r="AZ79" i="3"/>
  <c r="BA79" i="3"/>
  <c r="BB79" i="3"/>
  <c r="BC79" i="3"/>
  <c r="AV80" i="3"/>
  <c r="AW80" i="3"/>
  <c r="AX80" i="3"/>
  <c r="AY80" i="3"/>
  <c r="AZ80" i="3"/>
  <c r="BA80" i="3"/>
  <c r="BB80" i="3"/>
  <c r="BC80" i="3"/>
  <c r="BD81" i="3"/>
  <c r="BD82" i="3"/>
  <c r="BD83" i="3"/>
  <c r="BD84" i="3"/>
  <c r="BD85" i="3"/>
  <c r="BD86" i="3"/>
  <c r="BD87" i="3"/>
  <c r="BD88" i="3"/>
  <c r="BD89" i="3"/>
  <c r="BD90" i="3"/>
  <c r="BD91" i="3"/>
  <c r="BD92" i="3"/>
  <c r="BD94" i="3"/>
  <c r="BD95" i="3"/>
  <c r="BD96" i="3"/>
  <c r="BD97" i="3"/>
  <c r="BD98" i="3"/>
  <c r="BD99" i="3"/>
  <c r="BD100" i="3"/>
  <c r="BD101" i="3"/>
  <c r="BD102" i="3"/>
  <c r="BD103" i="3"/>
  <c r="BD104" i="3"/>
  <c r="BD106" i="3"/>
  <c r="BD107" i="3"/>
  <c r="BD108" i="3"/>
  <c r="BD110" i="3"/>
  <c r="BD111" i="3"/>
  <c r="BD113" i="3"/>
  <c r="BD115" i="3"/>
  <c r="C3" i="2"/>
  <c r="D3" i="2"/>
  <c r="E3" i="2"/>
  <c r="I3" i="2"/>
  <c r="F3" i="2"/>
  <c r="G3" i="2"/>
  <c r="H3" i="2"/>
  <c r="J3" i="2"/>
  <c r="K3" i="2"/>
  <c r="L3" i="2"/>
  <c r="C4" i="2"/>
  <c r="D4" i="2"/>
  <c r="E4" i="2"/>
  <c r="I4" i="2"/>
  <c r="F4" i="2"/>
  <c r="G4" i="2"/>
  <c r="H4" i="2"/>
  <c r="J4" i="2"/>
  <c r="K4" i="2"/>
  <c r="L4" i="2"/>
  <c r="A7" i="2"/>
  <c r="A8" i="2" s="1"/>
  <c r="A9" i="2" s="1"/>
  <c r="A10" i="2" s="1"/>
  <c r="A11" i="2" s="1"/>
  <c r="A12" i="2" s="1"/>
  <c r="A13" i="2" s="1"/>
  <c r="V8" i="1"/>
  <c r="V9" i="1"/>
  <c r="V10" i="1"/>
  <c r="V11" i="1"/>
  <c r="V19" i="1"/>
  <c r="V12" i="1"/>
  <c r="V14" i="1"/>
  <c r="V13" i="1"/>
  <c r="V20" i="1"/>
  <c r="V17" i="1"/>
  <c r="V16" i="1"/>
  <c r="V21" i="1"/>
  <c r="V50" i="1"/>
  <c r="V24" i="1"/>
  <c r="V25" i="1"/>
  <c r="V22" i="1"/>
  <c r="V29" i="1"/>
  <c r="V48" i="1"/>
  <c r="V26" i="1"/>
  <c r="V27" i="1"/>
  <c r="V28" i="1"/>
  <c r="V31" i="1"/>
  <c r="V32" i="1"/>
  <c r="V33" i="1"/>
  <c r="V34" i="1"/>
  <c r="V35" i="1"/>
  <c r="V7" i="1"/>
  <c r="V36" i="1"/>
  <c r="V37" i="1"/>
  <c r="V38" i="1"/>
  <c r="V39" i="1"/>
  <c r="V40" i="1"/>
  <c r="V15" i="1"/>
  <c r="V41" i="1"/>
  <c r="V42" i="1"/>
  <c r="V43" i="1"/>
  <c r="V44" i="1"/>
  <c r="V45" i="1"/>
  <c r="V46" i="1"/>
  <c r="V47" i="1"/>
  <c r="V54" i="1"/>
  <c r="V55" i="1"/>
  <c r="V30" i="1"/>
  <c r="V59" i="1"/>
  <c r="V60" i="1"/>
  <c r="V64" i="1"/>
  <c r="V65" i="1"/>
  <c r="V69" i="1"/>
  <c r="B73" i="1"/>
  <c r="D73" i="1"/>
  <c r="F73" i="1"/>
  <c r="N73" i="1"/>
  <c r="H73" i="1"/>
  <c r="J73" i="1"/>
  <c r="L73" i="1"/>
  <c r="P73" i="1"/>
  <c r="R73" i="1"/>
  <c r="T73" i="1"/>
  <c r="B74" i="1"/>
  <c r="D74" i="1"/>
  <c r="F74" i="1"/>
  <c r="N74" i="1"/>
  <c r="H74" i="1"/>
  <c r="J74" i="1"/>
  <c r="L74" i="1"/>
  <c r="P74" i="1"/>
  <c r="R74" i="1"/>
  <c r="T74" i="1"/>
  <c r="V77" i="1"/>
  <c r="V93" i="1"/>
  <c r="V78" i="1"/>
  <c r="V81" i="1"/>
  <c r="V94" i="1"/>
  <c r="V79" i="1"/>
  <c r="V82" i="1"/>
  <c r="V83" i="1"/>
  <c r="V86" i="1"/>
  <c r="V85" i="1"/>
  <c r="V88" i="1"/>
  <c r="V95" i="1"/>
  <c r="V96" i="1"/>
  <c r="V89" i="1"/>
  <c r="V84" i="1"/>
  <c r="V90" i="1"/>
  <c r="V91" i="1"/>
  <c r="V92" i="1"/>
  <c r="V80" i="1"/>
  <c r="V100" i="1"/>
  <c r="V101" i="1"/>
  <c r="V102" i="1"/>
  <c r="V107" i="1"/>
  <c r="V111" i="1"/>
  <c r="B119" i="1"/>
  <c r="D119" i="1"/>
  <c r="F119" i="1"/>
  <c r="N119" i="1"/>
  <c r="H119" i="1"/>
  <c r="J119" i="1"/>
  <c r="L119" i="1"/>
  <c r="P119" i="1"/>
  <c r="R119" i="1"/>
  <c r="T119" i="1"/>
  <c r="B120" i="1"/>
  <c r="D120" i="1"/>
  <c r="F120" i="1"/>
  <c r="N120" i="1"/>
  <c r="H120" i="1"/>
  <c r="J120" i="1"/>
  <c r="L120" i="1"/>
  <c r="P120" i="1"/>
  <c r="R120" i="1"/>
  <c r="T120" i="1"/>
  <c r="A14" i="2" l="1"/>
  <c r="M13" i="2"/>
  <c r="N4" i="2"/>
  <c r="N29" i="2" s="1"/>
  <c r="O29" i="2" s="1"/>
  <c r="A52" i="2" l="1"/>
  <c r="A53" i="2" s="1"/>
  <c r="A54" i="2" s="1"/>
  <c r="A55" i="2" s="1"/>
  <c r="N26" i="2"/>
  <c r="O26" i="2" s="1"/>
  <c r="N17" i="2"/>
  <c r="O17" i="2" s="1"/>
  <c r="N39" i="2"/>
  <c r="O39" i="2" s="1"/>
  <c r="N33" i="2"/>
  <c r="O33" i="2" s="1"/>
  <c r="N10" i="2"/>
  <c r="O10" i="2" s="1"/>
  <c r="N27" i="2"/>
  <c r="O27" i="2" s="1"/>
  <c r="N41" i="2"/>
  <c r="O41" i="2" s="1"/>
  <c r="N7" i="2"/>
  <c r="O7" i="2" s="1"/>
  <c r="N31" i="2"/>
  <c r="O31" i="2" s="1"/>
  <c r="N18" i="2"/>
  <c r="O18" i="2" s="1"/>
  <c r="N9" i="2"/>
  <c r="O9" i="2" s="1"/>
  <c r="N53" i="2"/>
  <c r="O53" i="2" s="1"/>
  <c r="N50" i="2"/>
  <c r="O50" i="2" s="1"/>
  <c r="N19" i="2"/>
  <c r="O19" i="2" s="1"/>
  <c r="N21" i="2"/>
  <c r="O21" i="2" s="1"/>
  <c r="N43" i="2"/>
  <c r="O43" i="2" s="1"/>
  <c r="N28" i="2"/>
  <c r="O28" i="2" s="1"/>
  <c r="N30" i="2"/>
  <c r="O30" i="2" s="1"/>
  <c r="N12" i="2"/>
  <c r="O12" i="2" s="1"/>
  <c r="N23" i="2"/>
  <c r="O23" i="2" s="1"/>
  <c r="N8" i="2"/>
  <c r="O8" i="2" s="1"/>
  <c r="N16" i="2"/>
  <c r="O16" i="2" s="1"/>
  <c r="N25" i="2"/>
  <c r="O25" i="2" s="1"/>
  <c r="N52" i="2"/>
  <c r="O52" i="2" s="1"/>
  <c r="N46" i="2"/>
  <c r="O46" i="2" s="1"/>
  <c r="N35" i="2"/>
  <c r="O35" i="2" s="1"/>
  <c r="N14" i="2"/>
  <c r="O14" i="2" s="1"/>
  <c r="N48" i="2"/>
  <c r="O48" i="2" s="1"/>
  <c r="N20" i="2"/>
  <c r="O20" i="2" s="1"/>
  <c r="N36" i="2"/>
  <c r="O36" i="2" s="1"/>
  <c r="N11" i="2"/>
  <c r="O11" i="2" s="1"/>
  <c r="N42" i="2"/>
  <c r="O42" i="2" s="1"/>
  <c r="N22" i="2"/>
  <c r="O22" i="2" s="1"/>
  <c r="N15" i="2"/>
  <c r="O15" i="2" s="1"/>
  <c r="N55" i="2"/>
  <c r="O55" i="2" s="1"/>
  <c r="N45" i="2"/>
  <c r="O45" i="2" s="1"/>
  <c r="N51" i="2"/>
  <c r="O51" i="2" s="1"/>
  <c r="N40" i="2"/>
  <c r="O40" i="2" s="1"/>
  <c r="N24" i="2"/>
  <c r="O24" i="2" s="1"/>
  <c r="N37" i="2"/>
  <c r="O37" i="2" s="1"/>
  <c r="N47" i="2"/>
  <c r="O47" i="2" s="1"/>
  <c r="N38" i="2"/>
  <c r="O38" i="2" s="1"/>
  <c r="N44" i="2"/>
  <c r="O44" i="2" s="1"/>
  <c r="N34" i="2"/>
  <c r="O34" i="2" s="1"/>
  <c r="N54" i="2"/>
  <c r="O54" i="2" s="1"/>
  <c r="N49" i="2"/>
  <c r="O49" i="2" s="1"/>
  <c r="N32" i="2"/>
  <c r="O32" i="2" s="1"/>
  <c r="N13" i="2"/>
  <c r="O13" i="2" s="1"/>
</calcChain>
</file>

<file path=xl/comments1.xml><?xml version="1.0" encoding="utf-8"?>
<comments xmlns="http://schemas.openxmlformats.org/spreadsheetml/2006/main">
  <authors>
    <author>James</author>
  </authors>
  <commentList>
    <comment ref="J29" authorId="0" shapeId="0">
      <text>
        <r>
          <rPr>
            <b/>
            <sz val="9"/>
            <color indexed="81"/>
            <rFont val="Tahoma"/>
            <family val="2"/>
          </rPr>
          <t>James:</t>
        </r>
        <r>
          <rPr>
            <sz val="9"/>
            <color indexed="81"/>
            <rFont val="Tahoma"/>
            <family val="2"/>
          </rPr>
          <t xml:space="preserve">
Not 3 runs - different best 3 formula.</t>
        </r>
      </text>
    </comment>
    <comment ref="J38" authorId="0" shapeId="0">
      <text>
        <r>
          <rPr>
            <b/>
            <sz val="9"/>
            <color indexed="81"/>
            <rFont val="Tahoma"/>
            <family val="2"/>
          </rPr>
          <t>James:</t>
        </r>
        <r>
          <rPr>
            <sz val="9"/>
            <color indexed="81"/>
            <rFont val="Tahoma"/>
            <family val="2"/>
          </rPr>
          <t xml:space="preserve">
Not 3 runs - different best 3 formula.</t>
        </r>
      </text>
    </comment>
  </commentList>
</comments>
</file>

<file path=xl/sharedStrings.xml><?xml version="1.0" encoding="utf-8"?>
<sst xmlns="http://schemas.openxmlformats.org/spreadsheetml/2006/main" count="2813" uniqueCount="1018">
  <si>
    <t>Time</t>
  </si>
  <si>
    <t>Place</t>
  </si>
  <si>
    <t>Distance</t>
  </si>
  <si>
    <t>Men</t>
  </si>
  <si>
    <t>James Atkinson</t>
  </si>
  <si>
    <t>John Hand</t>
  </si>
  <si>
    <t>John Nolan</t>
  </si>
  <si>
    <t>Michael Harvey</t>
  </si>
  <si>
    <t>Total Field</t>
  </si>
  <si>
    <t>Women</t>
  </si>
  <si>
    <t>TEAM RESULTS</t>
  </si>
  <si>
    <t>Points</t>
  </si>
  <si>
    <t>Total</t>
  </si>
  <si>
    <t>The Club Trophy Formula</t>
  </si>
  <si>
    <t>100 x ( T - P + 1 ) / T</t>
  </si>
  <si>
    <t>For example in a field of 100 runners:</t>
  </si>
  <si>
    <t>if you came 1st you would score 100 points</t>
  </si>
  <si>
    <t>if you came 100th you would score 1 point</t>
  </si>
  <si>
    <t>if you came 27th you would score 74 points</t>
  </si>
  <si>
    <t xml:space="preserve">The formula provides a pretty fair comparative score for athletes of both sexes and in various age groups. </t>
  </si>
  <si>
    <t>Result Dropped</t>
  </si>
  <si>
    <t>If you win you will score 100. If you run midfield you will score 50. If you finish last you will score close to zero.</t>
  </si>
  <si>
    <t xml:space="preserve">Season </t>
  </si>
  <si>
    <t>Clyde Riddoch</t>
  </si>
  <si>
    <t>WAVERLEY WINTER TROPHY</t>
  </si>
  <si>
    <t>Christopher Knott</t>
  </si>
  <si>
    <t>Martin Spiteri</t>
  </si>
  <si>
    <t>Warren Holst</t>
  </si>
  <si>
    <t>Tony George</t>
  </si>
  <si>
    <t>Jells Park</t>
  </si>
  <si>
    <t>Road 15K</t>
  </si>
  <si>
    <t>Road 10K</t>
  </si>
  <si>
    <t>CC 16K</t>
  </si>
  <si>
    <t>Coliban Relay</t>
  </si>
  <si>
    <t>CC 12K</t>
  </si>
  <si>
    <t>CC 8K</t>
  </si>
  <si>
    <t>1/2 Mara</t>
  </si>
  <si>
    <t>Relay</t>
  </si>
  <si>
    <t>Sandown</t>
  </si>
  <si>
    <t>Bendigo</t>
  </si>
  <si>
    <t>Bundoora</t>
  </si>
  <si>
    <t>Burnley</t>
  </si>
  <si>
    <t>Tan</t>
  </si>
  <si>
    <t>No. Races</t>
  </si>
  <si>
    <t>No. Runs</t>
  </si>
  <si>
    <t>Tim Hassett</t>
  </si>
  <si>
    <t>Male Open</t>
  </si>
  <si>
    <t>Male U20</t>
  </si>
  <si>
    <t>Male U18</t>
  </si>
  <si>
    <t>Male U16</t>
  </si>
  <si>
    <t>Male U14</t>
  </si>
  <si>
    <t>CC 6K</t>
  </si>
  <si>
    <t>Sally Atkinson</t>
  </si>
  <si>
    <t>Simone Albiston</t>
  </si>
  <si>
    <t>Female Open</t>
  </si>
  <si>
    <t>Uma Muthia</t>
  </si>
  <si>
    <t>Anissa Muthia</t>
  </si>
  <si>
    <t>Female U18</t>
  </si>
  <si>
    <t>Female U16</t>
  </si>
  <si>
    <t>Seema Muthia</t>
  </si>
  <si>
    <t>U18</t>
  </si>
  <si>
    <t>U16</t>
  </si>
  <si>
    <t>Female U14</t>
  </si>
  <si>
    <t>U20</t>
  </si>
  <si>
    <t>Steven Williams</t>
  </si>
  <si>
    <t>Dist</t>
  </si>
  <si>
    <t>Stephen Paine</t>
  </si>
  <si>
    <t>Michael Rafferty</t>
  </si>
  <si>
    <t>Female U20</t>
  </si>
  <si>
    <t>Bridget Albiston</t>
  </si>
  <si>
    <t>40+</t>
  </si>
  <si>
    <t>No. Waverley Runners</t>
  </si>
  <si>
    <t>Georgia Brock</t>
  </si>
  <si>
    <t>James McEniry</t>
  </si>
  <si>
    <t>Rohan Claffey</t>
  </si>
  <si>
    <t>Dropping worst run</t>
  </si>
  <si>
    <t>ave of best 3</t>
  </si>
  <si>
    <t>Rick Whitehead</t>
  </si>
  <si>
    <t>Craig Sanford</t>
  </si>
  <si>
    <t>Greg Raines</t>
  </si>
  <si>
    <t>Aaron Little</t>
  </si>
  <si>
    <t>Yohan Amerasekera</t>
  </si>
  <si>
    <t>Ballarat</t>
  </si>
  <si>
    <t>Dani Trowell</t>
  </si>
  <si>
    <t>6K</t>
  </si>
  <si>
    <t>3K</t>
  </si>
  <si>
    <t>4K</t>
  </si>
  <si>
    <t>5K</t>
  </si>
  <si>
    <t>2K</t>
  </si>
  <si>
    <t>CC Relays 6K</t>
  </si>
  <si>
    <t>Andrew Baxter</t>
  </si>
  <si>
    <t>Tim Albiston</t>
  </si>
  <si>
    <t>Troy Williams</t>
  </si>
  <si>
    <t>David Venour</t>
  </si>
  <si>
    <t>Andrew Coles</t>
  </si>
  <si>
    <t>Anthony Lee</t>
  </si>
  <si>
    <t>Shane Fielding</t>
  </si>
  <si>
    <t>Matt Sandilands</t>
  </si>
  <si>
    <t>Glenn Goodman</t>
  </si>
  <si>
    <t>James Wong</t>
  </si>
  <si>
    <t>Patrick Ziguras</t>
  </si>
  <si>
    <t>Kirsten Jackson</t>
  </si>
  <si>
    <t>Juanita Liston</t>
  </si>
  <si>
    <t>Jo Molnar</t>
  </si>
  <si>
    <t>Bree Bartlett</t>
  </si>
  <si>
    <t>Brimbank</t>
  </si>
  <si>
    <t>10K</t>
  </si>
  <si>
    <t>Ekiden Relay</t>
  </si>
  <si>
    <t>8K</t>
  </si>
  <si>
    <t>Julia Orzeszko</t>
  </si>
  <si>
    <t>May Teh Yong</t>
  </si>
  <si>
    <t>Robert Carstairs</t>
  </si>
  <si>
    <t>Place in Div 1</t>
  </si>
  <si>
    <t>APS</t>
  </si>
  <si>
    <t>Nicholas Thomas</t>
  </si>
  <si>
    <t>Road Relays 6.2K</t>
  </si>
  <si>
    <t>3.1K</t>
  </si>
  <si>
    <t xml:space="preserve"> = good run</t>
  </si>
  <si>
    <t>Janice Marston</t>
  </si>
  <si>
    <t>Craig Couper</t>
  </si>
  <si>
    <t>Division 6</t>
  </si>
  <si>
    <t>Nick Paine</t>
  </si>
  <si>
    <t>Vanessa Diep</t>
  </si>
  <si>
    <t>Martine Parsons</t>
  </si>
  <si>
    <t>Emma Bellenger</t>
  </si>
  <si>
    <t>Hugh Hunter</t>
  </si>
  <si>
    <t>Aaron Nitschke</t>
  </si>
  <si>
    <t>Jeremy Nagle</t>
  </si>
  <si>
    <t>Selim Ahmed</t>
  </si>
  <si>
    <t>Madeleine Pape</t>
  </si>
  <si>
    <t>Steve France</t>
  </si>
  <si>
    <t>Men Div 5  4x6K</t>
  </si>
  <si>
    <t>Men 40+  3x6K</t>
  </si>
  <si>
    <t>Women Div 2  4x6K</t>
  </si>
  <si>
    <t>Reg</t>
  </si>
  <si>
    <t>Mukund Premkumar</t>
  </si>
  <si>
    <t>Division 5</t>
  </si>
  <si>
    <t>Seasons</t>
  </si>
  <si>
    <t>Ticket</t>
  </si>
  <si>
    <t>DOB</t>
  </si>
  <si>
    <t>Mobile</t>
  </si>
  <si>
    <t>0404 840 500</t>
  </si>
  <si>
    <t>17.3.95</t>
  </si>
  <si>
    <t>16.2.97</t>
  </si>
  <si>
    <t>27.10.93</t>
  </si>
  <si>
    <t>29.4.93</t>
  </si>
  <si>
    <t>18.4.97</t>
  </si>
  <si>
    <t>22.5.93</t>
  </si>
  <si>
    <t>30.6.93</t>
  </si>
  <si>
    <t>45+</t>
  </si>
  <si>
    <t>50+</t>
  </si>
  <si>
    <t>Konrad Debicki</t>
  </si>
  <si>
    <t>Greg Carstairs</t>
  </si>
  <si>
    <t>For the half marathon, juniors are allocated the average of the best 3 other races.</t>
  </si>
  <si>
    <t>Nick Thomas</t>
  </si>
  <si>
    <t>Men 40+  3x3.8K</t>
  </si>
  <si>
    <t>Women Div 2  4x3.8K</t>
  </si>
  <si>
    <t>Age Grp</t>
  </si>
  <si>
    <t>Waverley</t>
  </si>
  <si>
    <t>0413 233 328</t>
  </si>
  <si>
    <t>17.1.66</t>
  </si>
  <si>
    <t>0433 802 432</t>
  </si>
  <si>
    <t>0419 365 371</t>
  </si>
  <si>
    <t>0418 420 609</t>
  </si>
  <si>
    <t>0438 016 846</t>
  </si>
  <si>
    <t>0414 473 164</t>
  </si>
  <si>
    <t>0414 522 448</t>
  </si>
  <si>
    <t>0422 235 433</t>
  </si>
  <si>
    <t>0404 889 179</t>
  </si>
  <si>
    <t>0422 879 262</t>
  </si>
  <si>
    <t>0419 988 261</t>
  </si>
  <si>
    <t>0447 082 991</t>
  </si>
  <si>
    <t>0425 762 680</t>
  </si>
  <si>
    <t>0416 052 115</t>
  </si>
  <si>
    <t>Ewen Vowels</t>
  </si>
  <si>
    <t>0423 905 111</t>
  </si>
  <si>
    <t>0406 015 483</t>
  </si>
  <si>
    <t>0431 154 208</t>
  </si>
  <si>
    <t>0423 906 394</t>
  </si>
  <si>
    <t>0439 902 907</t>
  </si>
  <si>
    <t>0421 279 927</t>
  </si>
  <si>
    <t>0421 688 544</t>
  </si>
  <si>
    <t>0431 727 293</t>
  </si>
  <si>
    <t>0433 306 604</t>
  </si>
  <si>
    <t>0419 397 807</t>
  </si>
  <si>
    <t>0409 856 104</t>
  </si>
  <si>
    <t>0417 568 606</t>
  </si>
  <si>
    <t>Mai Le</t>
  </si>
  <si>
    <t>Sam Dermoudy</t>
  </si>
  <si>
    <t>Greg Barton</t>
  </si>
  <si>
    <t>0425 713 560</t>
  </si>
  <si>
    <t>0401 213 500</t>
  </si>
  <si>
    <t>0418 365 293</t>
  </si>
  <si>
    <t>0412 540 807</t>
  </si>
  <si>
    <t>0405 507 849</t>
  </si>
  <si>
    <t>Sally Lim</t>
  </si>
  <si>
    <t>0409 308 261</t>
  </si>
  <si>
    <t>0418 591 438</t>
  </si>
  <si>
    <t>0422 162 022</t>
  </si>
  <si>
    <t>0423 194 803</t>
  </si>
  <si>
    <t>0413 240 108</t>
  </si>
  <si>
    <t>0424 752 617</t>
  </si>
  <si>
    <t>0434 198 128</t>
  </si>
  <si>
    <t>19.4.96</t>
  </si>
  <si>
    <t>17.2.66</t>
  </si>
  <si>
    <t>14.1.91</t>
  </si>
  <si>
    <t>26.9.72</t>
  </si>
  <si>
    <t>30.1.89</t>
  </si>
  <si>
    <t>25.9.85</t>
  </si>
  <si>
    <t>27.4.78</t>
  </si>
  <si>
    <t>21.4.63</t>
  </si>
  <si>
    <t>26.1.63</t>
  </si>
  <si>
    <t>27.12.63</t>
  </si>
  <si>
    <t>5.12.62</t>
  </si>
  <si>
    <t>28.4.90</t>
  </si>
  <si>
    <t>16.11.69</t>
  </si>
  <si>
    <t>25.9.64</t>
  </si>
  <si>
    <t>24.8.73</t>
  </si>
  <si>
    <t>0413 078 804</t>
  </si>
  <si>
    <t>0433 702 872</t>
  </si>
  <si>
    <t>17.10.69</t>
  </si>
  <si>
    <t>19.12.79</t>
  </si>
  <si>
    <t>16.3.76</t>
  </si>
  <si>
    <t>18.11.65</t>
  </si>
  <si>
    <t>17.8.70</t>
  </si>
  <si>
    <t>3.9.61</t>
  </si>
  <si>
    <t>4.11.91</t>
  </si>
  <si>
    <t>Ganesha Muthia</t>
  </si>
  <si>
    <t>0408 110 102</t>
  </si>
  <si>
    <t>11.1.96</t>
  </si>
  <si>
    <t>26.2.94</t>
  </si>
  <si>
    <t>0433 115 838</t>
  </si>
  <si>
    <t>0439 388 665</t>
  </si>
  <si>
    <t>10.9.90</t>
  </si>
  <si>
    <t>20.2.74</t>
  </si>
  <si>
    <t>20.8.63</t>
  </si>
  <si>
    <t>22.1.75</t>
  </si>
  <si>
    <t>0418 823 350</t>
  </si>
  <si>
    <t>25.7.53</t>
  </si>
  <si>
    <t>0435 108 217</t>
  </si>
  <si>
    <t>22.1.74</t>
  </si>
  <si>
    <t>31.8.68</t>
  </si>
  <si>
    <t>8.11.72</t>
  </si>
  <si>
    <t>25.4.71</t>
  </si>
  <si>
    <t>0430 580 094</t>
  </si>
  <si>
    <t>12.4.69</t>
  </si>
  <si>
    <t>0439 898 668</t>
  </si>
  <si>
    <t>9.8.71</t>
  </si>
  <si>
    <t>5.1.72</t>
  </si>
  <si>
    <t>0488 458 235</t>
  </si>
  <si>
    <t>0431 604 373</t>
  </si>
  <si>
    <t>28.6.93</t>
  </si>
  <si>
    <t>15.10.82</t>
  </si>
  <si>
    <t>19.9.61</t>
  </si>
  <si>
    <t>21.11.67</t>
  </si>
  <si>
    <t>Naveen Tenneti</t>
  </si>
  <si>
    <t>0413 163 504</t>
  </si>
  <si>
    <t>19.7.90</t>
  </si>
  <si>
    <t>13.10.59</t>
  </si>
  <si>
    <t>24.2.84</t>
  </si>
  <si>
    <t>0421 768 575</t>
  </si>
  <si>
    <t>Nickie Scriven</t>
  </si>
  <si>
    <t>Juanita Kallergis</t>
  </si>
  <si>
    <t>Chris Dunne</t>
  </si>
  <si>
    <t>Stevie Williams</t>
  </si>
  <si>
    <t>Chris Knott</t>
  </si>
  <si>
    <t>Cillian Jansen</t>
  </si>
  <si>
    <t>0417 500 513</t>
  </si>
  <si>
    <t>0450 390 716</t>
  </si>
  <si>
    <t>0409 307 366</t>
  </si>
  <si>
    <t>0432 305 628</t>
  </si>
  <si>
    <t>9874 5439</t>
  </si>
  <si>
    <t>0432 554 415</t>
  </si>
  <si>
    <t>0400 147 162</t>
  </si>
  <si>
    <t>Matt Zonneveldt</t>
  </si>
  <si>
    <t>0433 665 315</t>
  </si>
  <si>
    <t>Liz Mukherji</t>
  </si>
  <si>
    <t>Road Relays</t>
  </si>
  <si>
    <t>Niamh O'Reilley</t>
  </si>
  <si>
    <t>4.2K</t>
  </si>
  <si>
    <t>Mukund Premkumur</t>
  </si>
  <si>
    <t>Men Div 2  6x6K</t>
  </si>
  <si>
    <t>Men Div 4  5x6K</t>
  </si>
  <si>
    <t>Paul Marsh</t>
  </si>
  <si>
    <t>Men 50+  3x6K</t>
  </si>
  <si>
    <t>Dean Godfrey</t>
  </si>
  <si>
    <t>Michael Jansen</t>
  </si>
  <si>
    <t>Men U14 3x3K</t>
  </si>
  <si>
    <t>PJ</t>
  </si>
  <si>
    <t>Nicholas Spiteri</t>
  </si>
  <si>
    <t>Daniel Spiteri</t>
  </si>
  <si>
    <t>Women U14 3x3K</t>
  </si>
  <si>
    <t>Nela Debicki</t>
  </si>
  <si>
    <t>Melissa</t>
  </si>
  <si>
    <t>Sinead</t>
  </si>
  <si>
    <t>Clare Holst</t>
  </si>
  <si>
    <t>Tracee Rowe</t>
  </si>
  <si>
    <t>Women Div 4 3x6K</t>
  </si>
  <si>
    <t>Uma Muthia (inv)</t>
  </si>
  <si>
    <t>Ian Mirtile</t>
  </si>
  <si>
    <t>Mixed Div 7  4x6K (inv)</t>
  </si>
  <si>
    <t>Michael Rafferty (inv)</t>
  </si>
  <si>
    <t>3rd</t>
  </si>
  <si>
    <t>Men U18 3x3K</t>
  </si>
  <si>
    <t>Sandown Road Relays</t>
  </si>
  <si>
    <t>Jeremy</t>
  </si>
  <si>
    <t>Men Div 2  6x6.2K</t>
  </si>
  <si>
    <t>Men 40+  3x6.2K</t>
  </si>
  <si>
    <t>Men 50+  3x6.2K</t>
  </si>
  <si>
    <t>Women Div 2  4x6.2K</t>
  </si>
  <si>
    <t>4.2.95</t>
  </si>
  <si>
    <t xml:space="preserve"> 0466 606 379</t>
  </si>
  <si>
    <t>Ballarat Bus</t>
  </si>
  <si>
    <t>Niamh O'Reilley?</t>
  </si>
  <si>
    <t>Albert Park</t>
  </si>
  <si>
    <t>Warragul</t>
  </si>
  <si>
    <t>2.7.78</t>
  </si>
  <si>
    <t>19.4.98</t>
  </si>
  <si>
    <t>8.7.89</t>
  </si>
  <si>
    <t>22.9.79</t>
  </si>
  <si>
    <t>11.11.74</t>
  </si>
  <si>
    <t>12.2.70</t>
  </si>
  <si>
    <t>20.5.74</t>
  </si>
  <si>
    <t>8.7.00</t>
  </si>
  <si>
    <t>26.8.71</t>
  </si>
  <si>
    <t>17.2.79</t>
  </si>
  <si>
    <t>30.5.74</t>
  </si>
  <si>
    <t>3.5.66</t>
  </si>
  <si>
    <t>7.4.72</t>
  </si>
  <si>
    <t xml:space="preserve"> 0418 860 768</t>
  </si>
  <si>
    <t>0400 684 423</t>
  </si>
  <si>
    <t xml:space="preserve"> 0457 002 376</t>
  </si>
  <si>
    <t>0414 769 461</t>
  </si>
  <si>
    <t xml:space="preserve"> 0408 550 269</t>
  </si>
  <si>
    <t>0478 407 445</t>
  </si>
  <si>
    <t>0414 343 561</t>
  </si>
  <si>
    <t>0432 327 671</t>
  </si>
  <si>
    <t xml:space="preserve"> 0423 904 990</t>
  </si>
  <si>
    <t xml:space="preserve"> 0437 764 846</t>
  </si>
  <si>
    <t xml:space="preserve"> 0401 529 528</t>
  </si>
  <si>
    <t xml:space="preserve"> 0403 738 247</t>
  </si>
  <si>
    <t xml:space="preserve"> 0418 591 438</t>
  </si>
  <si>
    <t>Glenn Carroll</t>
  </si>
  <si>
    <t>Emily Stokes</t>
  </si>
  <si>
    <t>Men 50+ 3x3.8K</t>
  </si>
  <si>
    <t>Women 40+ 3x3.8K</t>
  </si>
  <si>
    <t>Men Div 2  6x3.8K</t>
  </si>
  <si>
    <t>Men Div 4  5x3.8K</t>
  </si>
  <si>
    <t>Not available:</t>
  </si>
  <si>
    <t>2nd</t>
  </si>
  <si>
    <t>1st</t>
  </si>
  <si>
    <t>60+</t>
  </si>
  <si>
    <t>Saturday 3 May 12:30pm</t>
  </si>
  <si>
    <t>Athletics Waverley - 2014 Winter Season Availability</t>
  </si>
  <si>
    <t>Last year</t>
  </si>
  <si>
    <t>Women 40+  3x6K</t>
  </si>
  <si>
    <t>Niamh O'Reilly</t>
  </si>
  <si>
    <t>30.7.97</t>
  </si>
  <si>
    <t>Justine White</t>
  </si>
  <si>
    <t>6th</t>
  </si>
  <si>
    <t>12th</t>
  </si>
  <si>
    <t>Men U18 3x3.1K</t>
  </si>
  <si>
    <t>Women 40+ 3x6.2K</t>
  </si>
  <si>
    <t>Patrick "PJ" Kelly</t>
  </si>
  <si>
    <t>Men 40+ (2)  3x6.2K</t>
  </si>
  <si>
    <t>DNF</t>
  </si>
  <si>
    <t>Patrick Kelly</t>
  </si>
  <si>
    <t>PB</t>
  </si>
  <si>
    <t>Alexander Jackson</t>
  </si>
  <si>
    <t>Saturday 20 September 9am</t>
  </si>
  <si>
    <t>Men U18 3x3.8K</t>
  </si>
  <si>
    <t>PJ Kelly</t>
  </si>
  <si>
    <t>13th</t>
  </si>
  <si>
    <t>10th</t>
  </si>
  <si>
    <t>15th</t>
  </si>
  <si>
    <t>11th</t>
  </si>
  <si>
    <t>Injured:</t>
  </si>
  <si>
    <t>Oxfam:</t>
  </si>
  <si>
    <t>Alison Couper</t>
  </si>
  <si>
    <t>Rob Carstairs</t>
  </si>
  <si>
    <t>Unavailable:</t>
  </si>
  <si>
    <t>10.6.78</t>
  </si>
  <si>
    <t>20.6.13</t>
  </si>
  <si>
    <t>30.6.99</t>
  </si>
  <si>
    <t>14.8.01</t>
  </si>
  <si>
    <t>5.7.14</t>
  </si>
  <si>
    <t>Petra Spiteri</t>
  </si>
  <si>
    <t>Paid</t>
  </si>
  <si>
    <t>Name</t>
  </si>
  <si>
    <t>Anglesea</t>
  </si>
  <si>
    <t>No.</t>
  </si>
  <si>
    <t>Ernie Lim</t>
  </si>
  <si>
    <t>Men Div 5 4x6K</t>
  </si>
  <si>
    <t>Men Div 3  5x6K</t>
  </si>
  <si>
    <t>Norval Hope</t>
  </si>
  <si>
    <t>Saturday 16 April 12:30pm</t>
  </si>
  <si>
    <t>Shane Fielding, Craig Sanford, James McEniry, Clyde Riddoch, Michael Harvey</t>
  </si>
  <si>
    <t>Kirsten Jackson, Alison Couper, Sally Lim, Simone Albiston</t>
  </si>
  <si>
    <t>Not registering</t>
  </si>
  <si>
    <t>Craig Couper, Warren Holst, Rohan Claffey</t>
  </si>
  <si>
    <t>Wandin Park</t>
  </si>
  <si>
    <t>Cruden Farm</t>
  </si>
  <si>
    <t>Jacqui Mitchell</t>
  </si>
  <si>
    <t>Division 3</t>
  </si>
  <si>
    <t>Andrew Coles, Steven Williams, Dave Venour</t>
  </si>
  <si>
    <t>Mixed Div 6 4x6K</t>
  </si>
  <si>
    <t>date change OK</t>
  </si>
  <si>
    <t>y</t>
  </si>
  <si>
    <t>Booked through Great Ocean Retreats</t>
  </si>
  <si>
    <t>Confirmation email:</t>
  </si>
  <si>
    <t>Price:</t>
  </si>
  <si>
    <t xml:space="preserve">Sleeps </t>
  </si>
  <si>
    <t>Address:</t>
  </si>
  <si>
    <t>Deposit and final balance will be deducted from the credit card provided plus the 2% merchant fee.Keys are to be collected from our office. 4/75 Great Ocean Rd Aireys Inlet.</t>
  </si>
  <si>
    <t>Holding Deposit: $0.00 Holiday Deposit Due: Holding Deposit Paid: </t>
  </si>
  <si>
    <t>Balance: $330.00 Balance Due: 01/06/2016 Balance Paid:</t>
  </si>
  <si>
    <t>Trail Half Marathon:</t>
  </si>
  <si>
    <t>http://www.surfcoasttrailmarathon.com.au/</t>
  </si>
  <si>
    <t>Surf Coast Half</t>
  </si>
  <si>
    <t>Anglesea River Beach Apartments</t>
  </si>
  <si>
    <t>http://www.surfcoastrentals.com.au/bookings/4-bedroom-sleeps-10-central-modern-architecturally-designed-beach-house-walk-to-beach-walk-to-shops.html#tabs|pinfo:desc</t>
  </si>
  <si>
    <t>Booked through Surf Coast Holiday Rentals</t>
  </si>
  <si>
    <t>3/2 Noble St</t>
  </si>
  <si>
    <t>Atkinson</t>
  </si>
  <si>
    <t>James</t>
  </si>
  <si>
    <t>Carroll</t>
  </si>
  <si>
    <t>Glenn</t>
  </si>
  <si>
    <t>Riddoch</t>
  </si>
  <si>
    <t>Clyde</t>
  </si>
  <si>
    <t>Knott</t>
  </si>
  <si>
    <t>Christopher</t>
  </si>
  <si>
    <t>Spiteri</t>
  </si>
  <si>
    <t>Martin</t>
  </si>
  <si>
    <t>Nicholas</t>
  </si>
  <si>
    <t>Daniel</t>
  </si>
  <si>
    <t>Marston</t>
  </si>
  <si>
    <t>Janice</t>
  </si>
  <si>
    <t>Albiston</t>
  </si>
  <si>
    <t>Baxter</t>
  </si>
  <si>
    <t>George</t>
  </si>
  <si>
    <t>Anthony</t>
  </si>
  <si>
    <t>Goodman</t>
  </si>
  <si>
    <t>Holst</t>
  </si>
  <si>
    <t>Clare</t>
  </si>
  <si>
    <t>Hope</t>
  </si>
  <si>
    <t>Norval</t>
  </si>
  <si>
    <t>Hunter</t>
  </si>
  <si>
    <t>Hugh</t>
  </si>
  <si>
    <t>Jansen</t>
  </si>
  <si>
    <t>Michael</t>
  </si>
  <si>
    <t>Cillian</t>
  </si>
  <si>
    <t>Kelly</t>
  </si>
  <si>
    <t>Patrick</t>
  </si>
  <si>
    <t>Mitchell</t>
  </si>
  <si>
    <t>Jacqueline</t>
  </si>
  <si>
    <t>Muthia</t>
  </si>
  <si>
    <t>Uma</t>
  </si>
  <si>
    <t>nolan</t>
  </si>
  <si>
    <t>O'Reilly</t>
  </si>
  <si>
    <t>Niamh</t>
  </si>
  <si>
    <t>Paine</t>
  </si>
  <si>
    <t>Robert</t>
  </si>
  <si>
    <t>Carstairs</t>
  </si>
  <si>
    <t>Rowe</t>
  </si>
  <si>
    <t>Tracee</t>
  </si>
  <si>
    <t>Scriven</t>
  </si>
  <si>
    <t>Nickie</t>
  </si>
  <si>
    <t>Petra</t>
  </si>
  <si>
    <t>Stokes</t>
  </si>
  <si>
    <t>Emily</t>
  </si>
  <si>
    <t>Vowels</t>
  </si>
  <si>
    <t>Whitehead</t>
  </si>
  <si>
    <t>Rick</t>
  </si>
  <si>
    <t>Tim</t>
  </si>
  <si>
    <t>Andrew</t>
  </si>
  <si>
    <t>John</t>
  </si>
  <si>
    <t>Stephen</t>
  </si>
  <si>
    <t>Ewen</t>
  </si>
  <si>
    <t>2015 Registrations</t>
  </si>
  <si>
    <t>12th of 14</t>
  </si>
  <si>
    <t>9th of 15</t>
  </si>
  <si>
    <t>12th of 12</t>
  </si>
  <si>
    <t>15th of 18</t>
  </si>
  <si>
    <t>3rd of  17</t>
  </si>
  <si>
    <t>1st of 16</t>
  </si>
  <si>
    <t>3rd of 12</t>
  </si>
  <si>
    <t>Saturday 18 April 12:30pm</t>
  </si>
  <si>
    <t>13th of 14</t>
  </si>
  <si>
    <t>Men Div 4 5x6K</t>
  </si>
  <si>
    <t>9th of 11</t>
  </si>
  <si>
    <t>13th of 15</t>
  </si>
  <si>
    <t>4th of 11</t>
  </si>
  <si>
    <t>7th of 12</t>
  </si>
  <si>
    <t>Men U16 3x3K</t>
  </si>
  <si>
    <t>9th of 13</t>
  </si>
  <si>
    <t>1st of 12</t>
  </si>
  <si>
    <t>Mixed Div 7 4x6K</t>
  </si>
  <si>
    <t>30th of 31</t>
  </si>
  <si>
    <t>Janice Marsten</t>
  </si>
  <si>
    <t>Jells Park Cross Country Relays 2015</t>
  </si>
  <si>
    <t>Jells Park Cross Country Relays 2014</t>
  </si>
  <si>
    <t>Jells Park Cross Country Relays 2013</t>
  </si>
  <si>
    <t>Jackie Mitchell</t>
  </si>
  <si>
    <t>Wait List</t>
  </si>
  <si>
    <t>BIB NO.</t>
  </si>
  <si>
    <t>SURNAME</t>
  </si>
  <si>
    <t>FIRST NAME</t>
  </si>
  <si>
    <t>MEMBER SINCE</t>
  </si>
  <si>
    <t>EMAIL</t>
  </si>
  <si>
    <t>TYPE</t>
  </si>
  <si>
    <t>Package</t>
  </si>
  <si>
    <t>Simone</t>
  </si>
  <si>
    <t>salbiston@optusnet.com.au</t>
  </si>
  <si>
    <t>Athlete, Coach</t>
  </si>
  <si>
    <t>Max</t>
  </si>
  <si>
    <t>talbiston@optusnet.com.au</t>
  </si>
  <si>
    <t>Athlete</t>
  </si>
  <si>
    <t>XCR</t>
  </si>
  <si>
    <t>waverley.jamesa@gmail.com</t>
  </si>
  <si>
    <t>glenn.m.carroll@gmail.com</t>
  </si>
  <si>
    <t>robert_carstairs@yahoo.com</t>
  </si>
  <si>
    <t>Shane</t>
  </si>
  <si>
    <t>redpuma88@gmail.com</t>
  </si>
  <si>
    <t>Duffy</t>
  </si>
  <si>
    <t>Simon</t>
  </si>
  <si>
    <t>simon.duffy@iinet.net.au</t>
  </si>
  <si>
    <t>tge00ge@bigpond.net.au</t>
  </si>
  <si>
    <t>ggoodman1@bigpond.com</t>
  </si>
  <si>
    <t>clare.holst@rowben.com.au</t>
  </si>
  <si>
    <t>norval.hope@ca.com</t>
  </si>
  <si>
    <t>hughhunter@optusnet.com.au</t>
  </si>
  <si>
    <t>cillian.jansen@ymail.com</t>
  </si>
  <si>
    <t>michael@jansenoreilly.net</t>
  </si>
  <si>
    <t>christopher.knott@dwfoxtucker.com.au</t>
  </si>
  <si>
    <t>janice.marston@optusnet.com.au</t>
  </si>
  <si>
    <t>McEniry</t>
  </si>
  <si>
    <t>jamiflow2007@yahoo.com</t>
  </si>
  <si>
    <t>mitchell.jacqueline.j@edumail.vic.gov.au</t>
  </si>
  <si>
    <t>uma_muthia@hotmail.com</t>
  </si>
  <si>
    <t>niamh@jansenoreilly.net</t>
  </si>
  <si>
    <t>stephen.c.paine@nab.com.au</t>
  </si>
  <si>
    <t>clyderiddoch@msn.com</t>
  </si>
  <si>
    <t>nickiescriven@gmail.com</t>
  </si>
  <si>
    <t>martin.spiteri@infineon.com</t>
  </si>
  <si>
    <t>emily_stokes87@hotmail.com</t>
  </si>
  <si>
    <t>ewen_aeiou@netspace.net.au</t>
  </si>
  <si>
    <t>Also - registered but not paid</t>
  </si>
  <si>
    <t>Nolan</t>
  </si>
  <si>
    <t>Zonneveldt</t>
  </si>
  <si>
    <t>Matt</t>
  </si>
  <si>
    <t>0467 762 602</t>
  </si>
  <si>
    <t>0421 498 212</t>
  </si>
  <si>
    <t>0405 987 892</t>
  </si>
  <si>
    <t>0405 527 884</t>
  </si>
  <si>
    <t>0413 378 072</t>
  </si>
  <si>
    <t>0428 942 928</t>
  </si>
  <si>
    <t>0439 145 068</t>
  </si>
  <si>
    <t>0450 310 796</t>
  </si>
  <si>
    <t>0418 117 855</t>
  </si>
  <si>
    <t>0413 191 402</t>
  </si>
  <si>
    <t>0401 749 912</t>
  </si>
  <si>
    <t>0410 618 560</t>
  </si>
  <si>
    <t>2016 Registered Athletes</t>
  </si>
  <si>
    <t>Simon Duffy</t>
  </si>
  <si>
    <t>You are allowed to drop your worst race, ie. the best 9 out of 10 count towards this prestigious award.</t>
  </si>
  <si>
    <t>For the Ekiden Relay, as the legs are all different, you get the average of your best 3 other races.</t>
  </si>
  <si>
    <t>CC 10K</t>
  </si>
  <si>
    <t>Men Div 3  5x6.2K</t>
  </si>
  <si>
    <t>Men Div 5  4x6.2K</t>
  </si>
  <si>
    <t>Jacqueline Mitchell</t>
  </si>
  <si>
    <t>Men Div 4  5x6.2K</t>
  </si>
  <si>
    <t>Craig Couper*</t>
  </si>
  <si>
    <t>Chris Knott*</t>
  </si>
  <si>
    <t>Nicholas Spiteri*</t>
  </si>
  <si>
    <t>James Atkinson*</t>
  </si>
  <si>
    <t>Glenn Goodman*</t>
  </si>
  <si>
    <t>Janice Marsten*</t>
  </si>
  <si>
    <t>Niamh O'Reilly*</t>
  </si>
  <si>
    <t>Saturday 12 July 2015  12:45pm</t>
  </si>
  <si>
    <t>Mixed Div 6  4x6.2K</t>
  </si>
  <si>
    <t>Officials:</t>
  </si>
  <si>
    <t>Michael Atkinson</t>
  </si>
  <si>
    <t>8th of 13</t>
  </si>
  <si>
    <t>10th of 10</t>
  </si>
  <si>
    <t>8th of 12</t>
  </si>
  <si>
    <t>11th of 12</t>
  </si>
  <si>
    <t>2nd of 15</t>
  </si>
  <si>
    <t>3rd of 8</t>
  </si>
  <si>
    <t>Anglesea Ekiden Relays</t>
  </si>
  <si>
    <t>12:35pm</t>
  </si>
  <si>
    <t>12:55pm</t>
  </si>
  <si>
    <t xml:space="preserve">Women Div 2 </t>
  </si>
  <si>
    <t>12:50pm</t>
  </si>
  <si>
    <t xml:space="preserve">Women 40+ </t>
  </si>
  <si>
    <t>1:05pm</t>
  </si>
  <si>
    <t>1st of 6</t>
  </si>
  <si>
    <t>Not available</t>
  </si>
  <si>
    <t>Saturday 6 August</t>
  </si>
  <si>
    <t>Men Div 3</t>
  </si>
  <si>
    <t>Men Div 5</t>
  </si>
  <si>
    <t>Men 40+:</t>
  </si>
  <si>
    <t>Add 300m to all legs</t>
  </si>
  <si>
    <t>10.3K</t>
  </si>
  <si>
    <t>9.3K</t>
  </si>
  <si>
    <t>8.4K</t>
  </si>
  <si>
    <t>6.5K</t>
  </si>
  <si>
    <t>5.7K</t>
  </si>
  <si>
    <t>5.1K</t>
  </si>
  <si>
    <t>10th of 13</t>
  </si>
  <si>
    <t>3rd of 6</t>
  </si>
  <si>
    <t>7th of 8</t>
  </si>
  <si>
    <t>11th of 11</t>
  </si>
  <si>
    <t>Tan Relays 2014</t>
  </si>
  <si>
    <t>Saturday 19 September 9am</t>
  </si>
  <si>
    <t>9th of 14</t>
  </si>
  <si>
    <t>6th of 12</t>
  </si>
  <si>
    <t>Glen Goodman</t>
  </si>
  <si>
    <t>2nd of 7</t>
  </si>
  <si>
    <t>Tan Relays 2015</t>
  </si>
  <si>
    <t>Men Div 3  5x3.8K</t>
  </si>
  <si>
    <t>Men Div 5  4x3.8K</t>
  </si>
  <si>
    <t>Saturday 17 September 9am</t>
  </si>
  <si>
    <t>Officials</t>
  </si>
  <si>
    <t>14th</t>
  </si>
  <si>
    <t>Athletics Waverley - 2017 Winter Season Results</t>
  </si>
  <si>
    <t>Division 4</t>
  </si>
  <si>
    <t>June 23-25</t>
  </si>
  <si>
    <t>Aug 11-13</t>
  </si>
  <si>
    <t>https://mail.google.com/mail/ca/u/0/?shva=1#inbox/15aaa8f32d7029a0</t>
  </si>
  <si>
    <t>Anglesea River Beach House</t>
  </si>
  <si>
    <t>2a Noble St</t>
  </si>
  <si>
    <t>http://www.angleseariverbeachhouse.com/</t>
  </si>
  <si>
    <t>Booked through Anglesea River Beach House</t>
  </si>
  <si>
    <t>I've block that out for you: in 11-Aug, out 13-Aug, for 10 people.  The price for the house and cleaning is $690 (2 nights plus $90 for cleaning).  The bond is an additional $500.</t>
  </si>
  <si>
    <t>Payment can be made via Bank Transfer or PayPal (add 2.4% for PayPal fees).  Guests usually prefer Bank Transfer, so the bank account details are:</t>
  </si>
  <si>
    <t>     Name:      J&amp;E Magrath</t>
  </si>
  <si>
    <t>     BSB:         733089</t>
  </si>
  <si>
    <t>     Account:  677023</t>
  </si>
  <si>
    <t>And finally a quick reminder that you'll need to bring your own towels, bed sheets and pillow cases (3 queens, 5 singles).</t>
  </si>
  <si>
    <t>Thank you.  I have received payment of $345 so your booking is now confirmed.  The outstanding amount plus bond is due 14 days prior to arrival.</t>
  </si>
  <si>
    <t>Matt Zonneveldt?</t>
  </si>
  <si>
    <t>https://mail.google.com/mail/ca/u/0/?shva=1#inbox/15aac1dc1b6c8f1f</t>
  </si>
  <si>
    <t>5 Marian Street, Aireys Inlet, VIC, 3231</t>
  </si>
  <si>
    <t>Total Price: $660.00</t>
  </si>
  <si>
    <t>Deposit: $330.00 Deposit Due: 20/02/2016 Deposit Paid: </t>
  </si>
  <si>
    <t>http://www.greatoceanretreats.com.au/accommodation/Aireys-Inlet/-Region-/354-Property-ID-024AI047/#overview</t>
  </si>
  <si>
    <t>Saturday 22 April 12:30pm</t>
  </si>
  <si>
    <t>Jells Park Cross Country Relays 2016</t>
  </si>
  <si>
    <t>Jells Park Cross Country Relays 2017</t>
  </si>
  <si>
    <t>Cooper Scriven</t>
  </si>
  <si>
    <t>Warren Holst?</t>
  </si>
  <si>
    <t>Glenn Goodman?</t>
  </si>
  <si>
    <t>Lakdinu DeSilva?</t>
  </si>
  <si>
    <t>Norval Hope?</t>
  </si>
  <si>
    <t>Jacqui Mitchell?</t>
  </si>
  <si>
    <t>Andrew Coles, Steven Williams, Dave Venour, Simon Duffy, Nick Paine</t>
  </si>
  <si>
    <t>Uma Muthia?</t>
  </si>
  <si>
    <t>Tony George, James McEniry,  John Hand</t>
  </si>
  <si>
    <t>Michael Rafferty? Nick Thomas?</t>
  </si>
  <si>
    <t>Commonwealth Games</t>
  </si>
  <si>
    <t>Apr 7-15 2018</t>
  </si>
  <si>
    <t>Alysa Atkinson</t>
  </si>
  <si>
    <t>Paradise on the Savoy</t>
  </si>
  <si>
    <t>Broadbeach Waters, QLD, Australia</t>
  </si>
  <si>
    <t>https://www.airbnb.com.au/reservation/itinerary?code=HMNMBYZ8CJ</t>
  </si>
  <si>
    <t>https://www.airbnb.com.au/rooms/17946704#neighborhood</t>
  </si>
  <si>
    <t xml:space="preserve">Price: </t>
  </si>
  <si>
    <t>Sleeps:</t>
  </si>
  <si>
    <t>Melissa Vecchio</t>
  </si>
  <si>
    <t>Lim</t>
  </si>
  <si>
    <t>Ernie</t>
  </si>
  <si>
    <t>Vecchio</t>
  </si>
  <si>
    <t>Y</t>
  </si>
  <si>
    <t>N</t>
  </si>
  <si>
    <t>Fielding</t>
  </si>
  <si>
    <t>Women Div 3  4x6K</t>
  </si>
  <si>
    <t>Women Div 5  3x6K</t>
  </si>
  <si>
    <t>Le</t>
  </si>
  <si>
    <t>Mai</t>
  </si>
  <si>
    <t>Barton</t>
  </si>
  <si>
    <t>Greg</t>
  </si>
  <si>
    <t>W50+</t>
  </si>
  <si>
    <t>W40+</t>
  </si>
  <si>
    <t>U20/Open</t>
  </si>
  <si>
    <t>WU18</t>
  </si>
  <si>
    <t>Tess</t>
  </si>
  <si>
    <t xml:space="preserve">Kirsten Jackson, </t>
  </si>
  <si>
    <t>Lizzie Holst</t>
  </si>
  <si>
    <t>Women U18 3x3K</t>
  </si>
  <si>
    <t>Tess Mitchell</t>
  </si>
  <si>
    <t>Men Div 6 4x6K</t>
  </si>
  <si>
    <t>Best</t>
  </si>
  <si>
    <t>6th of 13</t>
  </si>
  <si>
    <t>9th of 12</t>
  </si>
  <si>
    <t>11th of 14</t>
  </si>
  <si>
    <t>8th of 14</t>
  </si>
  <si>
    <t>12th of 16</t>
  </si>
  <si>
    <t>2nd of 14</t>
  </si>
  <si>
    <t>12th of 17</t>
  </si>
  <si>
    <t>7th of 9</t>
  </si>
  <si>
    <t>Booking confirmation</t>
  </si>
  <si>
    <t>2017 Registered Athletes</t>
  </si>
  <si>
    <t>Last Name</t>
  </si>
  <si>
    <t>First Name</t>
  </si>
  <si>
    <t>Gender</t>
  </si>
  <si>
    <t>Date of Birth</t>
  </si>
  <si>
    <t>Age</t>
  </si>
  <si>
    <t>BIB No</t>
  </si>
  <si>
    <t>Email</t>
  </si>
  <si>
    <t>Phone</t>
  </si>
  <si>
    <t>Address</t>
  </si>
  <si>
    <t>Suburb</t>
  </si>
  <si>
    <t>State</t>
  </si>
  <si>
    <t>Post Code</t>
  </si>
  <si>
    <t>Member Type</t>
  </si>
  <si>
    <t>Emergency Contact</t>
  </si>
  <si>
    <t>Emergency Contact Phone</t>
  </si>
  <si>
    <t>Female</t>
  </si>
  <si>
    <t>9877 1203</t>
  </si>
  <si>
    <t>12A Bond Avenue</t>
  </si>
  <si>
    <t>Blackburn South</t>
  </si>
  <si>
    <t>VIC</t>
  </si>
  <si>
    <t>Jim Kennedy</t>
  </si>
  <si>
    <t>Male</t>
  </si>
  <si>
    <t>Unit 8 8-10 Martin Street</t>
  </si>
  <si>
    <t>Thornbury</t>
  </si>
  <si>
    <t>Johanna Wilkinson</t>
  </si>
  <si>
    <t>Alysa</t>
  </si>
  <si>
    <t>alsaatkinson@gmail.com</t>
  </si>
  <si>
    <t>2a Holloway Close</t>
  </si>
  <si>
    <t>Sandringham</t>
  </si>
  <si>
    <t>9943 5478</t>
  </si>
  <si>
    <t>2A Holloway Close</t>
  </si>
  <si>
    <t>SANDRINGHAM</t>
  </si>
  <si>
    <t>Vicky Atkinson</t>
  </si>
  <si>
    <t>baxstar@hotmail.com</t>
  </si>
  <si>
    <t>25 Nyora Street</t>
  </si>
  <si>
    <t>Malvern East</t>
  </si>
  <si>
    <t>Alison Baxter</t>
  </si>
  <si>
    <t>10 Deans Road</t>
  </si>
  <si>
    <t>Upwey</t>
  </si>
  <si>
    <t>Jodie North</t>
  </si>
  <si>
    <t>59 Palladium Circle</t>
  </si>
  <si>
    <t>Beveridge</t>
  </si>
  <si>
    <t>Aranea Carstairs</t>
  </si>
  <si>
    <t>Claffey</t>
  </si>
  <si>
    <t>Rohan</t>
  </si>
  <si>
    <t>rohanclaffey@gmail.com</t>
  </si>
  <si>
    <t>9481 7967</t>
  </si>
  <si>
    <t>57 Christmas Street</t>
  </si>
  <si>
    <t>NORTHCOTE</t>
  </si>
  <si>
    <t>Alicia Davidson</t>
  </si>
  <si>
    <t>Couper</t>
  </si>
  <si>
    <t>Craig</t>
  </si>
  <si>
    <t>cazacouper@yahoo.com.au</t>
  </si>
  <si>
    <t>9728 1720</t>
  </si>
  <si>
    <t>87 Montrose Rd</t>
  </si>
  <si>
    <t>MONTROSE</t>
  </si>
  <si>
    <t>shane.fielding@optusnet.com.au</t>
  </si>
  <si>
    <t>6 Grand Manor Drive</t>
  </si>
  <si>
    <t>BERWICK</t>
  </si>
  <si>
    <t>Kim Fielding</t>
  </si>
  <si>
    <t>Harvey</t>
  </si>
  <si>
    <t>harvey_san@yahoo.com.au</t>
  </si>
  <si>
    <t>5967 1986</t>
  </si>
  <si>
    <t>2518 Warburton Hwy</t>
  </si>
  <si>
    <t>YARRA JUNCTION</t>
  </si>
  <si>
    <t>Elizabeth</t>
  </si>
  <si>
    <t>Lizzyholst@live.com</t>
  </si>
  <si>
    <t>10/76 Pakington Street</t>
  </si>
  <si>
    <t>St Kilda</t>
  </si>
  <si>
    <t>Vic</t>
  </si>
  <si>
    <t>Anne Holst</t>
  </si>
  <si>
    <t>5 Crowea Way</t>
  </si>
  <si>
    <t>MORNINGTON</t>
  </si>
  <si>
    <t>9515 0304</t>
  </si>
  <si>
    <t>31 Balcombe Park Lane</t>
  </si>
  <si>
    <t>BEAUMARIS</t>
  </si>
  <si>
    <t>9889 7846</t>
  </si>
  <si>
    <t>84 Bowen St</t>
  </si>
  <si>
    <t>CAMBERWELL</t>
  </si>
  <si>
    <t>68a Hunter Road</t>
  </si>
  <si>
    <t>thekellygang_5@optusnet.com.au</t>
  </si>
  <si>
    <t>14 Laura Grove</t>
  </si>
  <si>
    <t>Mount Waverley</t>
  </si>
  <si>
    <t>Meredith Kelly</t>
  </si>
  <si>
    <t>9889 7328</t>
  </si>
  <si>
    <t>70 Athelstan Road</t>
  </si>
  <si>
    <t>Simone Menz</t>
  </si>
  <si>
    <t>maiptle@gmail.com</t>
  </si>
  <si>
    <t>7/28 Bennett Street</t>
  </si>
  <si>
    <t>Richmond</t>
  </si>
  <si>
    <t>Mai-Uyen Le</t>
  </si>
  <si>
    <t>Sally</t>
  </si>
  <si>
    <t>sal_lim@y7mail.com</t>
  </si>
  <si>
    <t>4 Gully Crescent</t>
  </si>
  <si>
    <t>Belgrave</t>
  </si>
  <si>
    <t>Victoria</t>
  </si>
  <si>
    <t>9878 3638</t>
  </si>
  <si>
    <t>40 Bennett Street</t>
  </si>
  <si>
    <t>FOREST HILL</t>
  </si>
  <si>
    <t>Rob</t>
  </si>
  <si>
    <t>113B New Street</t>
  </si>
  <si>
    <t>BRIGHTON</t>
  </si>
  <si>
    <t>Mireille McEniry</t>
  </si>
  <si>
    <t>connm@live.com.au</t>
  </si>
  <si>
    <t>45 Malcolm Street</t>
  </si>
  <si>
    <t>Blackburn</t>
  </si>
  <si>
    <t>Gerald Mitchell</t>
  </si>
  <si>
    <t>johnnolan2000@yahoo.com</t>
  </si>
  <si>
    <t>14 sharon rd</t>
  </si>
  <si>
    <t>springvale south</t>
  </si>
  <si>
    <t>Mary Nolan</t>
  </si>
  <si>
    <t>9887 6116</t>
  </si>
  <si>
    <t>68a hunter road</t>
  </si>
  <si>
    <t>9533 8580</t>
  </si>
  <si>
    <t>40 Highbury Grove</t>
  </si>
  <si>
    <t>Prahran</t>
  </si>
  <si>
    <t>40 Beauchamp Street</t>
  </si>
  <si>
    <t>Preston</t>
  </si>
  <si>
    <t>Australia</t>
  </si>
  <si>
    <t>Violet Murphy</t>
  </si>
  <si>
    <t>Sanford</t>
  </si>
  <si>
    <t>csanford@sierralegal.com.au</t>
  </si>
  <si>
    <t>9561 0723</t>
  </si>
  <si>
    <t>2 Aquila Court</t>
  </si>
  <si>
    <t>WHEELERS HILL</t>
  </si>
  <si>
    <t>Kate Sanford</t>
  </si>
  <si>
    <t>Cooper</t>
  </si>
  <si>
    <t>18 Frater St</t>
  </si>
  <si>
    <t>Kew East</t>
  </si>
  <si>
    <t>Matt Scriven</t>
  </si>
  <si>
    <t>25 Roberts Ave</t>
  </si>
  <si>
    <t>BOX HILL SOUTH</t>
  </si>
  <si>
    <t>martin.spiteri@icloud.com</t>
  </si>
  <si>
    <t>Box Hill South</t>
  </si>
  <si>
    <t>7 Walden Ave</t>
  </si>
  <si>
    <t>Wheelers Hill</t>
  </si>
  <si>
    <t>Brian</t>
  </si>
  <si>
    <t>racvecchio@bigpond.com</t>
  </si>
  <si>
    <t>7 Pepperell Ave</t>
  </si>
  <si>
    <t>Robert vecchio</t>
  </si>
  <si>
    <t>32 Madura Street</t>
  </si>
  <si>
    <t>Travancore</t>
  </si>
  <si>
    <t>Rachael</t>
  </si>
  <si>
    <t>White</t>
  </si>
  <si>
    <t>Justine</t>
  </si>
  <si>
    <t>justine.white88@gmail.com</t>
  </si>
  <si>
    <t>11 Freeman Street</t>
  </si>
  <si>
    <t>Yvonne White</t>
  </si>
  <si>
    <t>rick.whitehead@live.com.au</t>
  </si>
  <si>
    <t>9561 6869</t>
  </si>
  <si>
    <t>6 Bramley Crescent</t>
  </si>
  <si>
    <t>Fay Whitehead</t>
  </si>
  <si>
    <t>Age Group</t>
  </si>
  <si>
    <t>F40+</t>
  </si>
  <si>
    <t>MOpen</t>
  </si>
  <si>
    <t>FU16</t>
  </si>
  <si>
    <t>M50+</t>
  </si>
  <si>
    <t>M40+</t>
  </si>
  <si>
    <t>FOpen</t>
  </si>
  <si>
    <t>MU20</t>
  </si>
  <si>
    <t>MU16</t>
  </si>
  <si>
    <t>FU18</t>
  </si>
  <si>
    <t>MU14</t>
  </si>
  <si>
    <t>MU18</t>
  </si>
  <si>
    <t>Lakdinu Da Silva</t>
  </si>
  <si>
    <t>Athletics Waverley - 2017 Cross Country Points</t>
  </si>
  <si>
    <t>where T = the total no. runners, P = your place</t>
  </si>
  <si>
    <t>Points are awarded each race for the percentage of the field that you beat, including yourself.</t>
  </si>
  <si>
    <t>The formula is:</t>
  </si>
  <si>
    <t>Emergency Contact Relationship</t>
  </si>
  <si>
    <t>Father</t>
  </si>
  <si>
    <t>Partner</t>
  </si>
  <si>
    <t>Wife</t>
  </si>
  <si>
    <t>Bhujoharry</t>
  </si>
  <si>
    <t>shanebhuj@gmail.com</t>
  </si>
  <si>
    <t>34 Phillip Street</t>
  </si>
  <si>
    <t>Bentleigh</t>
  </si>
  <si>
    <t>Lynda Rigby</t>
  </si>
  <si>
    <t>Spouse</t>
  </si>
  <si>
    <t>Brisbane</t>
  </si>
  <si>
    <t>Jack</t>
  </si>
  <si>
    <t>jackbrisbane21@gmail.com</t>
  </si>
  <si>
    <t xml:space="preserve">11 Alumnus crt </t>
  </si>
  <si>
    <t>Wheelers hill</t>
  </si>
  <si>
    <t xml:space="preserve">victoria </t>
  </si>
  <si>
    <t>Rae-lene Brett</t>
  </si>
  <si>
    <t xml:space="preserve">Mother </t>
  </si>
  <si>
    <t>Evan</t>
  </si>
  <si>
    <t>RegAthsWav@gmail.com</t>
  </si>
  <si>
    <t>9803 6367</t>
  </si>
  <si>
    <t>41 Gyton Avenue</t>
  </si>
  <si>
    <t>GLEN WAVERLEY</t>
  </si>
  <si>
    <t>Official</t>
  </si>
  <si>
    <t>Kerry</t>
  </si>
  <si>
    <t>glc23@hotmail.com</t>
  </si>
  <si>
    <t>4/15 Beach Ave</t>
  </si>
  <si>
    <t>Elwood</t>
  </si>
  <si>
    <t>Evan Carstairs</t>
  </si>
  <si>
    <t>Dad</t>
  </si>
  <si>
    <t>wife</t>
  </si>
  <si>
    <t>9706 1846</t>
  </si>
  <si>
    <t>31 Churchill Park Drive</t>
  </si>
  <si>
    <t>ENDEAVOUR HILLS</t>
  </si>
  <si>
    <t>Michelle George</t>
  </si>
  <si>
    <t>Glover</t>
  </si>
  <si>
    <t>Yvonne</t>
  </si>
  <si>
    <t>glovie@iprimus.com.au</t>
  </si>
  <si>
    <t>9802 6564</t>
  </si>
  <si>
    <t>11 Morshead Avenue</t>
  </si>
  <si>
    <t>MT WAVERLEY</t>
  </si>
  <si>
    <t>Kerri Dickson</t>
  </si>
  <si>
    <t>Daughter</t>
  </si>
  <si>
    <t>Mum</t>
  </si>
  <si>
    <t>mother</t>
  </si>
  <si>
    <t>Jackson</t>
  </si>
  <si>
    <t>Kirsten</t>
  </si>
  <si>
    <t>blonde23@bigpond.com</t>
  </si>
  <si>
    <t>9521 9266</t>
  </si>
  <si>
    <t>11 David Street</t>
  </si>
  <si>
    <t>HAMPTON</t>
  </si>
  <si>
    <t>Ian Jackson</t>
  </si>
  <si>
    <t>husband</t>
  </si>
  <si>
    <t>Mother</t>
  </si>
  <si>
    <t>spouse</t>
  </si>
  <si>
    <t>Sister</t>
  </si>
  <si>
    <t>Husband</t>
  </si>
  <si>
    <t>Defacto Partner</t>
  </si>
  <si>
    <t>3 Lilian St</t>
  </si>
  <si>
    <t>Glen Waverley</t>
  </si>
  <si>
    <t>Haydn Chapman</t>
  </si>
  <si>
    <t>mum</t>
  </si>
  <si>
    <t>partner</t>
  </si>
  <si>
    <t>father</t>
  </si>
  <si>
    <t>Williams</t>
  </si>
  <si>
    <t>Steven</t>
  </si>
  <si>
    <t>stevearoonie@gmail.com</t>
  </si>
  <si>
    <t>9689 8668</t>
  </si>
  <si>
    <t>193 Blyth Street</t>
  </si>
  <si>
    <t>EAST BRUNSWICK</t>
  </si>
  <si>
    <t>Kate Campbell</t>
  </si>
  <si>
    <t>Jack Brisbane</t>
  </si>
  <si>
    <t>Bliss on the Waterfront</t>
  </si>
  <si>
    <t>10 Helen Court, Broadbeach</t>
  </si>
  <si>
    <t>https://www.stayz.com.au/accommodation/qld/gold-coast/broadbeach/211185</t>
  </si>
  <si>
    <t>https://mail.google.com/mail/ca/u/0/?shva=1#search/bliss/15c358f98d6104c5</t>
  </si>
  <si>
    <t>Reservation Details for James Atkinson at Bliss On The Waterfront .</t>
  </si>
  <si>
    <t>Arrival :  7/4/2018  14:00</t>
  </si>
  <si>
    <t>Departure :  15/4/2018  10:00</t>
  </si>
  <si>
    <t>Adults :  7</t>
  </si>
  <si>
    <t>Children : 3</t>
  </si>
  <si>
    <t>Full Tariff: $7660</t>
  </si>
  <si>
    <t>Balance Owing : $5660 + $500 fully refundable bond.</t>
  </si>
  <si>
    <t>Final payment is requested 30 days prior to your holiday by funds transfer.</t>
  </si>
  <si>
    <t>waterfront, pool, 4 bedrooms, 2 bathrooms, pool table, 1.5K walk to beach and life saving club</t>
  </si>
  <si>
    <t>Shane Bhujaharry</t>
  </si>
  <si>
    <t>Lizzy Holst</t>
  </si>
  <si>
    <t>Saturday 9 July 2016</t>
  </si>
  <si>
    <t>Saturday 8 July 12:45pm</t>
  </si>
  <si>
    <t>Women Div 3  4x6.2K</t>
  </si>
  <si>
    <t>Rohan Claffey?</t>
  </si>
  <si>
    <t>Andrew Baxter?</t>
  </si>
  <si>
    <t>Lakdinu DaSilva</t>
  </si>
  <si>
    <t>Women Div 5  3x6.2K</t>
  </si>
  <si>
    <t>Violet Riddoch</t>
  </si>
  <si>
    <t>Ernest</t>
  </si>
  <si>
    <t>ernie_e_lim@yahoo.com.au</t>
  </si>
  <si>
    <t>8201 0295</t>
  </si>
  <si>
    <t>BELGRAVE</t>
  </si>
  <si>
    <t>Desilva</t>
  </si>
  <si>
    <t>Lakdinu</t>
  </si>
  <si>
    <t>dvads@hotmail.com</t>
  </si>
  <si>
    <t>41 Kauri Grove</t>
  </si>
  <si>
    <t xml:space="preserve">dayal desilva </t>
  </si>
  <si>
    <t>parent/father</t>
  </si>
  <si>
    <t>059980197</t>
  </si>
  <si>
    <t>82010295</t>
  </si>
  <si>
    <t>98866826</t>
  </si>
  <si>
    <t>98884570</t>
  </si>
  <si>
    <t>98086527</t>
  </si>
  <si>
    <t>98039985</t>
  </si>
  <si>
    <t>5th</t>
  </si>
  <si>
    <t>Anglesea River Beach Apartments  3/2 Noble St</t>
  </si>
  <si>
    <t>Anglesea River Beach House  2a Noble St</t>
  </si>
  <si>
    <t>Saturday 12 August</t>
  </si>
  <si>
    <t>Men Div 4</t>
  </si>
  <si>
    <t>Hugh Hunter?</t>
  </si>
  <si>
    <t>Ewen Vowels?</t>
  </si>
  <si>
    <t>Women Div 3</t>
  </si>
  <si>
    <t>Women Div 5</t>
  </si>
  <si>
    <t>1:00pm</t>
  </si>
  <si>
    <t>Mai Le?</t>
  </si>
  <si>
    <t>Unlikely</t>
  </si>
  <si>
    <t>Shane Bujahari</t>
  </si>
  <si>
    <t>Nickie Scriven?</t>
  </si>
  <si>
    <t>Melissa Vechio?</t>
  </si>
  <si>
    <t>Extras W Div 5?</t>
  </si>
  <si>
    <t>Tan Relays 2016</t>
  </si>
  <si>
    <t>Princes Park Relays</t>
  </si>
  <si>
    <t>Saturday 16 September 9am. All legs are 3.2K</t>
  </si>
  <si>
    <t>Men Div 3  5x3.2K</t>
  </si>
  <si>
    <t>Men 50+ 3x3.2K</t>
  </si>
  <si>
    <t>Women 40+ 3x3.2K</t>
  </si>
  <si>
    <t>Men 40+ 3x3.2K</t>
  </si>
  <si>
    <t>Women Div 3  4x3.2K</t>
  </si>
  <si>
    <t>Women U18 3x3.2K</t>
  </si>
  <si>
    <t>Melissa Vechio</t>
  </si>
  <si>
    <t>Reamonn Jansen</t>
  </si>
  <si>
    <t>Aislinn Jansen</t>
  </si>
  <si>
    <t>Liam Scott</t>
  </si>
  <si>
    <t>Tyler Cooper</t>
  </si>
  <si>
    <t>Men Div 6  4x3.2K</t>
  </si>
  <si>
    <t>Women Div 5  3x3.2K</t>
  </si>
  <si>
    <t>Men Div 4  5x3.2K</t>
  </si>
  <si>
    <t>Men U14 Dual 3x3.2K</t>
  </si>
  <si>
    <t>em:</t>
  </si>
  <si>
    <t>Princes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</si>
</sst>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$&quot;#,##0;[Red]\-&quot;$&quot;#,##0"/>
    <numFmt numFmtId="164" formatCode="0."/>
    <numFmt numFmtId="165" formatCode="0.0&quot;K&quot;"/>
    <numFmt numFmtId="166" formatCode="0.0"/>
    <numFmt numFmtId="167" formatCode="dd\ mmm"/>
    <numFmt numFmtId="168" formatCode="d\ mmm"/>
    <numFmt numFmtId="169" formatCode="#,##0;;"/>
    <numFmt numFmtId="170" formatCode="&quot;8K &quot;0.00"/>
    <numFmt numFmtId="171" formatCode="&quot;6.2K &quot;0.00"/>
    <numFmt numFmtId="172" formatCode="&quot;6K  &quot;0.00"/>
  </numFmts>
  <fonts count="3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u/>
      <sz val="24"/>
      <name val="Arial"/>
      <family val="2"/>
    </font>
    <font>
      <b/>
      <u/>
      <sz val="30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u/>
      <sz val="18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u/>
      <sz val="6"/>
      <color indexed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sz val="12"/>
      <name val="Arial"/>
      <family val="2"/>
    </font>
    <font>
      <sz val="10"/>
      <color indexed="9"/>
      <name val="Arial"/>
      <family val="2"/>
    </font>
    <font>
      <sz val="1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"/>
      <family val="2"/>
    </font>
    <font>
      <sz val="11"/>
      <name val="Arial"/>
      <family val="2"/>
    </font>
    <font>
      <u/>
      <sz val="9"/>
      <color indexed="12"/>
      <name val="Arial"/>
      <family val="2"/>
    </font>
    <font>
      <u/>
      <sz val="10"/>
      <color indexed="12"/>
      <name val="Arial"/>
      <family val="2"/>
    </font>
    <font>
      <sz val="10"/>
      <color rgb="FF222222"/>
      <name val="Arial"/>
      <family val="2"/>
    </font>
    <font>
      <sz val="10"/>
      <color rgb="FF444444"/>
      <name val="Arial"/>
      <family val="2"/>
    </font>
    <font>
      <u/>
      <sz val="11"/>
      <color theme="1"/>
      <name val="Calibri"/>
      <family val="2"/>
      <scheme val="minor"/>
    </font>
    <font>
      <i/>
      <sz val="10"/>
      <name val="Arial"/>
      <family val="2"/>
    </font>
    <font>
      <sz val="12"/>
      <color rgb="FF222222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381">
    <xf numFmtId="0" fontId="0" fillId="0" borderId="0" xfId="0"/>
    <xf numFmtId="0" fontId="3" fillId="2" borderId="0" xfId="0" applyFont="1" applyFill="1"/>
    <xf numFmtId="2" fontId="0" fillId="2" borderId="0" xfId="0" applyNumberFormat="1" applyFill="1" applyAlignment="1">
      <alignment horizontal="right"/>
    </xf>
    <xf numFmtId="0" fontId="0" fillId="2" borderId="0" xfId="0" applyFill="1" applyAlignment="1">
      <alignment horizontal="right"/>
    </xf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2" borderId="0" xfId="0" applyFill="1" applyBorder="1"/>
    <xf numFmtId="0" fontId="0" fillId="2" borderId="0" xfId="0" applyFill="1"/>
    <xf numFmtId="0" fontId="4" fillId="2" borderId="0" xfId="0" applyFont="1" applyFill="1"/>
    <xf numFmtId="0" fontId="5" fillId="2" borderId="1" xfId="0" applyFont="1" applyFill="1" applyBorder="1" applyAlignment="1">
      <alignment horizontal="center" vertical="center" wrapText="1"/>
    </xf>
    <xf numFmtId="2" fontId="0" fillId="2" borderId="2" xfId="0" applyNumberFormat="1" applyFill="1" applyBorder="1" applyAlignment="1">
      <alignment horizontal="right" vertical="center" wrapText="1"/>
    </xf>
    <xf numFmtId="0" fontId="0" fillId="2" borderId="3" xfId="0" applyFill="1" applyBorder="1" applyAlignment="1">
      <alignment horizontal="right" vertical="center" wrapText="1"/>
    </xf>
    <xf numFmtId="2" fontId="9" fillId="2" borderId="2" xfId="0" applyNumberFormat="1" applyFont="1" applyFill="1" applyBorder="1" applyAlignment="1">
      <alignment horizontal="right" vertical="center" wrapText="1"/>
    </xf>
    <xf numFmtId="0" fontId="0" fillId="2" borderId="3" xfId="0" applyFill="1" applyBorder="1" applyAlignment="1">
      <alignment horizontal="right" vertical="center"/>
    </xf>
    <xf numFmtId="0" fontId="0" fillId="2" borderId="2" xfId="0" applyFill="1" applyBorder="1" applyAlignment="1">
      <alignment horizontal="right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right" vertical="center" wrapText="1"/>
    </xf>
    <xf numFmtId="0" fontId="0" fillId="2" borderId="0" xfId="0" applyFill="1" applyAlignment="1">
      <alignment horizontal="right" wrapText="1"/>
    </xf>
    <xf numFmtId="0" fontId="0" fillId="2" borderId="4" xfId="0" applyFill="1" applyBorder="1" applyAlignment="1">
      <alignment horizontal="right"/>
    </xf>
    <xf numFmtId="167" fontId="0" fillId="2" borderId="0" xfId="0" applyNumberFormat="1" applyFill="1" applyBorder="1" applyAlignment="1">
      <alignment horizontal="right"/>
    </xf>
    <xf numFmtId="167" fontId="0" fillId="2" borderId="5" xfId="0" applyNumberFormat="1" applyFill="1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5" xfId="0" applyFill="1" applyBorder="1" applyAlignment="1">
      <alignment horizontal="center"/>
    </xf>
    <xf numFmtId="2" fontId="0" fillId="2" borderId="2" xfId="0" applyNumberFormat="1" applyFill="1" applyBorder="1" applyAlignment="1">
      <alignment horizontal="right"/>
    </xf>
    <xf numFmtId="0" fontId="0" fillId="2" borderId="4" xfId="0" applyFill="1" applyBorder="1"/>
    <xf numFmtId="1" fontId="0" fillId="2" borderId="5" xfId="0" applyNumberFormat="1" applyFill="1" applyBorder="1" applyAlignment="1">
      <alignment horizontal="center"/>
    </xf>
    <xf numFmtId="1" fontId="0" fillId="2" borderId="1" xfId="0" applyNumberFormat="1" applyFill="1" applyBorder="1"/>
    <xf numFmtId="1" fontId="0" fillId="2" borderId="3" xfId="0" applyNumberFormat="1" applyFill="1" applyBorder="1" applyAlignment="1">
      <alignment horizontal="center"/>
    </xf>
    <xf numFmtId="1" fontId="0" fillId="2" borderId="0" xfId="0" applyNumberFormat="1" applyFill="1" applyBorder="1"/>
    <xf numFmtId="2" fontId="0" fillId="2" borderId="6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7" fillId="2" borderId="0" xfId="0" applyFont="1" applyFill="1"/>
    <xf numFmtId="0" fontId="0" fillId="2" borderId="7" xfId="0" applyFill="1" applyBorder="1" applyAlignment="1">
      <alignment horizontal="right"/>
    </xf>
    <xf numFmtId="2" fontId="0" fillId="2" borderId="8" xfId="0" applyNumberFormat="1" applyFill="1" applyBorder="1" applyAlignment="1">
      <alignment horizontal="right"/>
    </xf>
    <xf numFmtId="0" fontId="0" fillId="2" borderId="9" xfId="0" applyFill="1" applyBorder="1" applyAlignment="1">
      <alignment horizontal="right"/>
    </xf>
    <xf numFmtId="0" fontId="0" fillId="2" borderId="9" xfId="0" applyFill="1" applyBorder="1" applyAlignment="1">
      <alignment horizontal="center"/>
    </xf>
    <xf numFmtId="0" fontId="6" fillId="2" borderId="4" xfId="0" applyFont="1" applyFill="1" applyBorder="1"/>
    <xf numFmtId="0" fontId="8" fillId="2" borderId="5" xfId="0" applyFont="1" applyFill="1" applyBorder="1" applyAlignment="1">
      <alignment horizontal="right"/>
    </xf>
    <xf numFmtId="165" fontId="0" fillId="2" borderId="5" xfId="0" applyNumberFormat="1" applyFill="1" applyBorder="1" applyAlignment="1">
      <alignment horizontal="right"/>
    </xf>
    <xf numFmtId="1" fontId="0" fillId="2" borderId="0" xfId="0" applyNumberFormat="1" applyFill="1"/>
    <xf numFmtId="0" fontId="9" fillId="2" borderId="4" xfId="0" applyFont="1" applyFill="1" applyBorder="1"/>
    <xf numFmtId="1" fontId="0" fillId="2" borderId="0" xfId="0" applyNumberFormat="1" applyFill="1" applyBorder="1" applyAlignment="1">
      <alignment horizontal="right"/>
    </xf>
    <xf numFmtId="1" fontId="0" fillId="2" borderId="0" xfId="0" applyNumberFormat="1" applyFill="1" applyBorder="1" applyAlignment="1">
      <alignment horizontal="center"/>
    </xf>
    <xf numFmtId="0" fontId="0" fillId="2" borderId="6" xfId="0" applyFill="1" applyBorder="1"/>
    <xf numFmtId="0" fontId="0" fillId="2" borderId="6" xfId="0" applyFill="1" applyBorder="1" applyAlignment="1">
      <alignment horizontal="right"/>
    </xf>
    <xf numFmtId="0" fontId="1" fillId="2" borderId="3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right"/>
    </xf>
    <xf numFmtId="0" fontId="1" fillId="2" borderId="11" xfId="0" applyFont="1" applyFill="1" applyBorder="1" applyAlignment="1">
      <alignment horizontal="center"/>
    </xf>
    <xf numFmtId="0" fontId="10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0" fillId="2" borderId="10" xfId="0" applyFill="1" applyBorder="1"/>
    <xf numFmtId="0" fontId="9" fillId="2" borderId="0" xfId="0" applyFont="1" applyFill="1"/>
    <xf numFmtId="0" fontId="11" fillId="2" borderId="0" xfId="0" applyFont="1" applyFill="1"/>
    <xf numFmtId="2" fontId="0" fillId="2" borderId="0" xfId="0" applyNumberFormat="1" applyFill="1"/>
    <xf numFmtId="0" fontId="0" fillId="2" borderId="12" xfId="0" applyFill="1" applyBorder="1" applyAlignment="1">
      <alignment horizontal="left"/>
    </xf>
    <xf numFmtId="0" fontId="5" fillId="2" borderId="3" xfId="0" applyFont="1" applyFill="1" applyBorder="1" applyAlignment="1">
      <alignment horizontal="center" wrapText="1"/>
    </xf>
    <xf numFmtId="0" fontId="0" fillId="2" borderId="1" xfId="0" applyFill="1" applyBorder="1" applyAlignment="1">
      <alignment horizontal="right" wrapText="1"/>
    </xf>
    <xf numFmtId="0" fontId="0" fillId="2" borderId="13" xfId="0" applyFill="1" applyBorder="1" applyAlignment="1">
      <alignment horizontal="center"/>
    </xf>
    <xf numFmtId="168" fontId="0" fillId="2" borderId="13" xfId="0" applyNumberFormat="1" applyFill="1" applyBorder="1" applyAlignment="1">
      <alignment horizontal="right"/>
    </xf>
    <xf numFmtId="168" fontId="0" fillId="2" borderId="0" xfId="0" applyNumberFormat="1" applyFill="1" applyBorder="1" applyAlignment="1">
      <alignment horizontal="right"/>
    </xf>
    <xf numFmtId="168" fontId="0" fillId="2" borderId="5" xfId="0" applyNumberFormat="1" applyFill="1" applyBorder="1" applyAlignment="1">
      <alignment horizontal="right"/>
    </xf>
    <xf numFmtId="0" fontId="1" fillId="2" borderId="0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3" xfId="0" applyFont="1" applyFill="1" applyBorder="1"/>
    <xf numFmtId="2" fontId="0" fillId="2" borderId="2" xfId="0" applyNumberFormat="1" applyFill="1" applyBorder="1"/>
    <xf numFmtId="0" fontId="8" fillId="2" borderId="2" xfId="0" applyFont="1" applyFill="1" applyBorder="1" applyAlignment="1">
      <alignment horizontal="centerContinuous"/>
    </xf>
    <xf numFmtId="0" fontId="8" fillId="2" borderId="3" xfId="0" applyFont="1" applyFill="1" applyBorder="1" applyAlignment="1">
      <alignment horizontal="centerContinuous"/>
    </xf>
    <xf numFmtId="0" fontId="8" fillId="2" borderId="1" xfId="0" applyFont="1" applyFill="1" applyBorder="1" applyAlignment="1">
      <alignment horizontal="centerContinuous"/>
    </xf>
    <xf numFmtId="164" fontId="0" fillId="2" borderId="13" xfId="0" applyNumberFormat="1" applyFill="1" applyBorder="1" applyAlignment="1">
      <alignment horizontal="center"/>
    </xf>
    <xf numFmtId="2" fontId="0" fillId="2" borderId="0" xfId="0" applyNumberFormat="1" applyFill="1" applyBorder="1"/>
    <xf numFmtId="2" fontId="0" fillId="2" borderId="4" xfId="0" applyNumberFormat="1" applyFill="1" applyBorder="1"/>
    <xf numFmtId="0" fontId="6" fillId="2" borderId="14" xfId="0" applyFont="1" applyFill="1" applyBorder="1" applyAlignment="1">
      <alignment horizontal="center"/>
    </xf>
    <xf numFmtId="2" fontId="0" fillId="2" borderId="10" xfId="0" applyNumberFormat="1" applyFill="1" applyBorder="1"/>
    <xf numFmtId="0" fontId="10" fillId="2" borderId="0" xfId="0" applyFont="1" applyFill="1"/>
    <xf numFmtId="0" fontId="9" fillId="2" borderId="0" xfId="0" applyFont="1" applyFill="1" applyBorder="1"/>
    <xf numFmtId="0" fontId="6" fillId="2" borderId="0" xfId="0" applyFont="1" applyFill="1" applyBorder="1"/>
    <xf numFmtId="2" fontId="0" fillId="2" borderId="0" xfId="0" applyNumberFormat="1" applyFill="1" applyBorder="1" applyAlignment="1">
      <alignment horizontal="left"/>
    </xf>
    <xf numFmtId="1" fontId="0" fillId="2" borderId="7" xfId="0" applyNumberFormat="1" applyFill="1" applyBorder="1"/>
    <xf numFmtId="1" fontId="0" fillId="2" borderId="8" xfId="0" applyNumberFormat="1" applyFill="1" applyBorder="1" applyAlignment="1">
      <alignment horizontal="right"/>
    </xf>
    <xf numFmtId="1" fontId="0" fillId="2" borderId="9" xfId="0" applyNumberFormat="1" applyFill="1" applyBorder="1" applyAlignment="1">
      <alignment horizontal="right"/>
    </xf>
    <xf numFmtId="1" fontId="0" fillId="2" borderId="9" xfId="0" applyNumberFormat="1" applyFill="1" applyBorder="1" applyAlignment="1">
      <alignment horizontal="center"/>
    </xf>
    <xf numFmtId="1" fontId="0" fillId="2" borderId="2" xfId="0" applyNumberFormat="1" applyFill="1" applyBorder="1" applyAlignment="1">
      <alignment horizontal="right"/>
    </xf>
    <xf numFmtId="1" fontId="0" fillId="2" borderId="3" xfId="0" applyNumberFormat="1" applyFill="1" applyBorder="1" applyAlignment="1">
      <alignment horizontal="right"/>
    </xf>
    <xf numFmtId="2" fontId="2" fillId="2" borderId="12" xfId="0" applyNumberFormat="1" applyFont="1" applyFill="1" applyBorder="1" applyAlignment="1">
      <alignment horizontal="right" wrapText="1"/>
    </xf>
    <xf numFmtId="2" fontId="2" fillId="2" borderId="2" xfId="0" applyNumberFormat="1" applyFont="1" applyFill="1" applyBorder="1" applyAlignment="1">
      <alignment horizontal="right" wrapText="1"/>
    </xf>
    <xf numFmtId="0" fontId="2" fillId="2" borderId="2" xfId="0" applyFont="1" applyFill="1" applyBorder="1" applyAlignment="1">
      <alignment horizontal="right" wrapText="1"/>
    </xf>
    <xf numFmtId="0" fontId="2" fillId="2" borderId="3" xfId="0" applyFont="1" applyFill="1" applyBorder="1" applyAlignment="1">
      <alignment horizontal="right" wrapText="1"/>
    </xf>
    <xf numFmtId="3" fontId="0" fillId="2" borderId="5" xfId="0" applyNumberFormat="1" applyFill="1" applyBorder="1" applyAlignment="1">
      <alignment horizontal="right"/>
    </xf>
    <xf numFmtId="166" fontId="0" fillId="2" borderId="5" xfId="0" applyNumberFormat="1" applyFill="1" applyBorder="1" applyAlignment="1">
      <alignment horizontal="right"/>
    </xf>
    <xf numFmtId="166" fontId="0" fillId="2" borderId="3" xfId="0" applyNumberFormat="1" applyFill="1" applyBorder="1" applyAlignment="1">
      <alignment horizontal="right"/>
    </xf>
    <xf numFmtId="166" fontId="0" fillId="2" borderId="9" xfId="0" applyNumberFormat="1" applyFill="1" applyBorder="1" applyAlignment="1">
      <alignment horizontal="right"/>
    </xf>
    <xf numFmtId="166" fontId="0" fillId="2" borderId="0" xfId="0" applyNumberFormat="1" applyFill="1" applyBorder="1" applyAlignment="1">
      <alignment horizontal="right"/>
    </xf>
    <xf numFmtId="166" fontId="0" fillId="2" borderId="3" xfId="0" applyNumberFormat="1" applyFill="1" applyBorder="1" applyAlignment="1">
      <alignment horizontal="right" vertical="center" wrapText="1"/>
    </xf>
    <xf numFmtId="2" fontId="0" fillId="2" borderId="2" xfId="0" applyNumberFormat="1" applyFill="1" applyBorder="1" applyAlignment="1">
      <alignment horizontal="left" vertical="center"/>
    </xf>
    <xf numFmtId="0" fontId="15" fillId="2" borderId="7" xfId="0" applyFont="1" applyFill="1" applyBorder="1"/>
    <xf numFmtId="0" fontId="15" fillId="2" borderId="0" xfId="0" applyFont="1" applyFill="1"/>
    <xf numFmtId="0" fontId="15" fillId="2" borderId="4" xfId="0" applyFont="1" applyFill="1" applyBorder="1" applyAlignment="1">
      <alignment horizontal="right"/>
    </xf>
    <xf numFmtId="0" fontId="15" fillId="2" borderId="0" xfId="0" applyFont="1" applyFill="1" applyBorder="1" applyAlignment="1">
      <alignment horizontal="right"/>
    </xf>
    <xf numFmtId="0" fontId="15" fillId="2" borderId="0" xfId="0" applyFont="1" applyFill="1" applyAlignment="1">
      <alignment horizontal="right"/>
    </xf>
    <xf numFmtId="0" fontId="17" fillId="2" borderId="0" xfId="0" applyFont="1" applyFill="1" applyBorder="1"/>
    <xf numFmtId="0" fontId="17" fillId="2" borderId="0" xfId="0" applyFont="1" applyFill="1"/>
    <xf numFmtId="1" fontId="17" fillId="2" borderId="0" xfId="0" applyNumberFormat="1" applyFont="1" applyFill="1" applyBorder="1"/>
    <xf numFmtId="1" fontId="17" fillId="2" borderId="7" xfId="0" applyNumberFormat="1" applyFont="1" applyFill="1" applyBorder="1"/>
    <xf numFmtId="0" fontId="17" fillId="2" borderId="0" xfId="0" applyFont="1" applyFill="1" applyBorder="1" applyAlignment="1">
      <alignment horizontal="right"/>
    </xf>
    <xf numFmtId="0" fontId="17" fillId="2" borderId="0" xfId="0" applyFont="1" applyFill="1" applyAlignment="1">
      <alignment horizontal="right"/>
    </xf>
    <xf numFmtId="0" fontId="17" fillId="2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right" vertical="center" wrapText="1"/>
    </xf>
    <xf numFmtId="0" fontId="17" fillId="2" borderId="0" xfId="0" applyFont="1" applyFill="1" applyAlignment="1">
      <alignment horizontal="right" wrapText="1"/>
    </xf>
    <xf numFmtId="1" fontId="17" fillId="2" borderId="0" xfId="0" applyNumberFormat="1" applyFont="1" applyFill="1"/>
    <xf numFmtId="0" fontId="18" fillId="3" borderId="0" xfId="0" applyFont="1" applyFill="1"/>
    <xf numFmtId="0" fontId="9" fillId="0" borderId="0" xfId="0" applyFont="1"/>
    <xf numFmtId="0" fontId="19" fillId="0" borderId="0" xfId="0" applyFont="1"/>
    <xf numFmtId="0" fontId="5" fillId="2" borderId="12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right"/>
    </xf>
    <xf numFmtId="0" fontId="6" fillId="2" borderId="13" xfId="0" applyFont="1" applyFill="1" applyBorder="1"/>
    <xf numFmtId="0" fontId="0" fillId="2" borderId="13" xfId="0" applyFill="1" applyBorder="1"/>
    <xf numFmtId="0" fontId="16" fillId="2" borderId="13" xfId="0" applyFont="1" applyFill="1" applyBorder="1"/>
    <xf numFmtId="0" fontId="17" fillId="2" borderId="15" xfId="0" applyFont="1" applyFill="1" applyBorder="1"/>
    <xf numFmtId="0" fontId="17" fillId="2" borderId="13" xfId="0" applyFont="1" applyFill="1" applyBorder="1"/>
    <xf numFmtId="1" fontId="17" fillId="2" borderId="15" xfId="0" applyNumberFormat="1" applyFont="1" applyFill="1" applyBorder="1"/>
    <xf numFmtId="0" fontId="17" fillId="2" borderId="12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right"/>
    </xf>
    <xf numFmtId="0" fontId="20" fillId="0" borderId="0" xfId="0" applyFont="1"/>
    <xf numFmtId="0" fontId="21" fillId="0" borderId="0" xfId="0" applyFont="1"/>
    <xf numFmtId="0" fontId="18" fillId="3" borderId="0" xfId="0" applyFont="1" applyFill="1" applyAlignment="1">
      <alignment horizontal="center"/>
    </xf>
    <xf numFmtId="2" fontId="9" fillId="0" borderId="0" xfId="0" applyNumberFormat="1" applyFont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7" fillId="2" borderId="7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1" fontId="17" fillId="2" borderId="7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2" borderId="0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 vertical="center" wrapText="1"/>
    </xf>
    <xf numFmtId="2" fontId="0" fillId="2" borderId="2" xfId="0" applyNumberFormat="1" applyFill="1" applyBorder="1" applyAlignment="1">
      <alignment horizontal="center" vertical="center"/>
    </xf>
    <xf numFmtId="2" fontId="9" fillId="2" borderId="2" xfId="0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67" fontId="15" fillId="2" borderId="0" xfId="0" applyNumberFormat="1" applyFont="1" applyFill="1" applyBorder="1" applyAlignment="1">
      <alignment horizontal="center"/>
    </xf>
    <xf numFmtId="2" fontId="17" fillId="2" borderId="0" xfId="0" applyNumberFormat="1" applyFont="1" applyFill="1" applyBorder="1" applyAlignment="1">
      <alignment horizontal="center"/>
    </xf>
    <xf numFmtId="2" fontId="17" fillId="2" borderId="8" xfId="0" applyNumberFormat="1" applyFont="1" applyFill="1" applyBorder="1" applyAlignment="1">
      <alignment horizontal="center"/>
    </xf>
    <xf numFmtId="1" fontId="17" fillId="2" borderId="8" xfId="0" applyNumberFormat="1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2" fontId="17" fillId="2" borderId="0" xfId="0" applyNumberFormat="1" applyFont="1" applyFill="1" applyAlignment="1">
      <alignment horizontal="center"/>
    </xf>
    <xf numFmtId="2" fontId="9" fillId="2" borderId="2" xfId="0" applyNumberFormat="1" applyFont="1" applyFill="1" applyBorder="1" applyAlignment="1">
      <alignment horizontal="center" vertical="center"/>
    </xf>
    <xf numFmtId="167" fontId="17" fillId="2" borderId="0" xfId="0" applyNumberFormat="1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15" fillId="2" borderId="7" xfId="0" quotePrefix="1" applyFont="1" applyFill="1" applyBorder="1" applyAlignment="1">
      <alignment horizontal="center"/>
    </xf>
    <xf numFmtId="2" fontId="15" fillId="0" borderId="8" xfId="0" applyNumberFormat="1" applyFont="1" applyFill="1" applyBorder="1" applyAlignment="1">
      <alignment horizontal="center"/>
    </xf>
    <xf numFmtId="0" fontId="15" fillId="0" borderId="7" xfId="0" applyFont="1" applyFill="1" applyBorder="1" applyAlignment="1">
      <alignment horizontal="center"/>
    </xf>
    <xf numFmtId="171" fontId="0" fillId="2" borderId="0" xfId="0" applyNumberFormat="1" applyFill="1" applyBorder="1" applyAlignment="1">
      <alignment horizontal="right"/>
    </xf>
    <xf numFmtId="1" fontId="0" fillId="2" borderId="2" xfId="0" applyNumberFormat="1" applyFill="1" applyBorder="1"/>
    <xf numFmtId="1" fontId="0" fillId="2" borderId="2" xfId="0" applyNumberFormat="1" applyFill="1" applyBorder="1" applyAlignment="1">
      <alignment horizontal="center"/>
    </xf>
    <xf numFmtId="21" fontId="0" fillId="0" borderId="0" xfId="0" applyNumberFormat="1"/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22" fillId="3" borderId="0" xfId="0" applyFont="1" applyFill="1"/>
    <xf numFmtId="2" fontId="8" fillId="3" borderId="0" xfId="0" applyNumberFormat="1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2" fontId="17" fillId="0" borderId="8" xfId="0" applyNumberFormat="1" applyFont="1" applyFill="1" applyBorder="1" applyAlignment="1">
      <alignment horizontal="center"/>
    </xf>
    <xf numFmtId="0" fontId="16" fillId="2" borderId="7" xfId="0" applyFont="1" applyFill="1" applyBorder="1"/>
    <xf numFmtId="4" fontId="9" fillId="0" borderId="0" xfId="0" applyNumberFormat="1" applyFont="1"/>
    <xf numFmtId="4" fontId="0" fillId="0" borderId="0" xfId="0" applyNumberFormat="1"/>
    <xf numFmtId="4" fontId="18" fillId="3" borderId="0" xfId="0" applyNumberFormat="1" applyFont="1" applyFill="1" applyAlignment="1">
      <alignment horizontal="center"/>
    </xf>
    <xf numFmtId="0" fontId="9" fillId="0" borderId="0" xfId="0" applyFont="1" applyFill="1"/>
    <xf numFmtId="4" fontId="9" fillId="0" borderId="0" xfId="0" applyNumberFormat="1" applyFont="1" applyFill="1"/>
    <xf numFmtId="0" fontId="21" fillId="0" borderId="0" xfId="0" applyFont="1" applyFill="1"/>
    <xf numFmtId="4" fontId="9" fillId="0" borderId="0" xfId="0" applyNumberFormat="1" applyFont="1" applyFill="1" applyAlignment="1">
      <alignment horizontal="right"/>
    </xf>
    <xf numFmtId="4" fontId="0" fillId="0" borderId="0" xfId="0" applyNumberFormat="1" applyFill="1"/>
    <xf numFmtId="0" fontId="20" fillId="0" borderId="0" xfId="0" applyFont="1" applyFill="1"/>
    <xf numFmtId="172" fontId="0" fillId="2" borderId="0" xfId="0" applyNumberFormat="1" applyFill="1" applyBorder="1" applyAlignment="1">
      <alignment horizontal="right"/>
    </xf>
    <xf numFmtId="2" fontId="0" fillId="4" borderId="0" xfId="0" applyNumberFormat="1" applyFill="1" applyBorder="1" applyAlignment="1">
      <alignment horizontal="right"/>
    </xf>
    <xf numFmtId="2" fontId="0" fillId="4" borderId="2" xfId="0" applyNumberFormat="1" applyFill="1" applyBorder="1" applyAlignment="1">
      <alignment horizontal="right"/>
    </xf>
    <xf numFmtId="2" fontId="0" fillId="4" borderId="0" xfId="0" applyNumberFormat="1" applyFill="1" applyBorder="1" applyAlignment="1">
      <alignment horizontal="left"/>
    </xf>
    <xf numFmtId="2" fontId="0" fillId="4" borderId="8" xfId="0" applyNumberFormat="1" applyFill="1" applyBorder="1" applyAlignment="1">
      <alignment horizontal="right"/>
    </xf>
    <xf numFmtId="2" fontId="0" fillId="4" borderId="2" xfId="0" applyNumberFormat="1" applyFill="1" applyBorder="1" applyAlignment="1">
      <alignment horizontal="right" vertical="center" wrapText="1"/>
    </xf>
    <xf numFmtId="167" fontId="0" fillId="4" borderId="0" xfId="0" applyNumberFormat="1" applyFill="1" applyBorder="1" applyAlignment="1">
      <alignment horizontal="right"/>
    </xf>
    <xf numFmtId="2" fontId="9" fillId="2" borderId="0" xfId="0" applyNumberFormat="1" applyFont="1" applyFill="1" applyBorder="1" applyAlignment="1">
      <alignment horizontal="right"/>
    </xf>
    <xf numFmtId="0" fontId="2" fillId="0" borderId="0" xfId="0" applyFont="1"/>
    <xf numFmtId="0" fontId="15" fillId="2" borderId="15" xfId="0" applyFont="1" applyFill="1" applyBorder="1"/>
    <xf numFmtId="2" fontId="2" fillId="0" borderId="0" xfId="0" applyNumberFormat="1" applyFont="1"/>
    <xf numFmtId="0" fontId="2" fillId="2" borderId="4" xfId="0" applyFont="1" applyFill="1" applyBorder="1"/>
    <xf numFmtId="0" fontId="26" fillId="0" borderId="0" xfId="0" applyFont="1" applyAlignment="1">
      <alignment vertical="center"/>
    </xf>
    <xf numFmtId="0" fontId="2" fillId="0" borderId="0" xfId="0" applyFont="1" applyFill="1"/>
    <xf numFmtId="21" fontId="2" fillId="0" borderId="0" xfId="0" applyNumberFormat="1" applyFont="1"/>
    <xf numFmtId="0" fontId="2" fillId="4" borderId="0" xfId="0" applyFont="1" applyFill="1"/>
    <xf numFmtId="4" fontId="8" fillId="3" borderId="0" xfId="0" applyNumberFormat="1" applyFont="1" applyFill="1" applyAlignment="1">
      <alignment horizontal="center"/>
    </xf>
    <xf numFmtId="4" fontId="2" fillId="0" borderId="0" xfId="0" applyNumberFormat="1" applyFont="1"/>
    <xf numFmtId="2" fontId="17" fillId="0" borderId="0" xfId="0" applyNumberFormat="1" applyFont="1" applyFill="1" applyBorder="1" applyAlignment="1">
      <alignment horizontal="center"/>
    </xf>
    <xf numFmtId="0" fontId="15" fillId="2" borderId="13" xfId="0" applyFont="1" applyFill="1" applyBorder="1"/>
    <xf numFmtId="0" fontId="15" fillId="0" borderId="7" xfId="0" applyFont="1" applyFill="1" applyBorder="1"/>
    <xf numFmtId="16" fontId="15" fillId="2" borderId="4" xfId="0" applyNumberFormat="1" applyFont="1" applyFill="1" applyBorder="1" applyAlignment="1">
      <alignment horizontal="center"/>
    </xf>
    <xf numFmtId="1" fontId="15" fillId="2" borderId="7" xfId="0" applyNumberFormat="1" applyFont="1" applyFill="1" applyBorder="1" applyAlignment="1">
      <alignment horizontal="center"/>
    </xf>
    <xf numFmtId="0" fontId="23" fillId="2" borderId="0" xfId="0" applyFont="1" applyFill="1"/>
    <xf numFmtId="0" fontId="6" fillId="4" borderId="0" xfId="0" applyFont="1" applyFill="1"/>
    <xf numFmtId="0" fontId="6" fillId="0" borderId="0" xfId="0" applyFont="1" applyFill="1"/>
    <xf numFmtId="0" fontId="6" fillId="0" borderId="0" xfId="0" applyFont="1"/>
    <xf numFmtId="0" fontId="0" fillId="4" borderId="5" xfId="0" applyFill="1" applyBorder="1" applyAlignment="1">
      <alignment horizontal="right"/>
    </xf>
    <xf numFmtId="0" fontId="1" fillId="4" borderId="5" xfId="0" applyFont="1" applyFill="1" applyBorder="1" applyAlignment="1">
      <alignment horizontal="center"/>
    </xf>
    <xf numFmtId="1" fontId="0" fillId="4" borderId="5" xfId="0" applyNumberFormat="1" applyFill="1" applyBorder="1" applyAlignment="1">
      <alignment horizontal="right"/>
    </xf>
    <xf numFmtId="1" fontId="0" fillId="4" borderId="0" xfId="0" applyNumberFormat="1" applyFill="1" applyBorder="1" applyAlignment="1">
      <alignment horizontal="right"/>
    </xf>
    <xf numFmtId="1" fontId="0" fillId="4" borderId="5" xfId="0" quotePrefix="1" applyNumberFormat="1" applyFill="1" applyBorder="1" applyAlignment="1">
      <alignment horizontal="right"/>
    </xf>
    <xf numFmtId="0" fontId="1" fillId="4" borderId="5" xfId="0" quotePrefix="1" applyFont="1" applyFill="1" applyBorder="1" applyAlignment="1">
      <alignment horizontal="center"/>
    </xf>
    <xf numFmtId="0" fontId="0" fillId="4" borderId="11" xfId="0" applyFill="1" applyBorder="1" applyAlignment="1">
      <alignment horizontal="right"/>
    </xf>
    <xf numFmtId="2" fontId="0" fillId="4" borderId="6" xfId="0" applyNumberFormat="1" applyFill="1" applyBorder="1" applyAlignment="1">
      <alignment horizontal="right"/>
    </xf>
    <xf numFmtId="1" fontId="0" fillId="4" borderId="6" xfId="0" applyNumberFormat="1" applyFill="1" applyBorder="1" applyAlignment="1">
      <alignment horizontal="right"/>
    </xf>
    <xf numFmtId="0" fontId="14" fillId="4" borderId="11" xfId="0" applyFont="1" applyFill="1" applyBorder="1" applyAlignment="1">
      <alignment horizontal="center"/>
    </xf>
    <xf numFmtId="0" fontId="0" fillId="4" borderId="5" xfId="0" applyFill="1" applyBorder="1"/>
    <xf numFmtId="2" fontId="0" fillId="4" borderId="13" xfId="0" applyNumberFormat="1" applyFill="1" applyBorder="1"/>
    <xf numFmtId="2" fontId="0" fillId="4" borderId="0" xfId="0" applyNumberFormat="1" applyFill="1" applyBorder="1"/>
    <xf numFmtId="0" fontId="6" fillId="4" borderId="11" xfId="0" applyFont="1" applyFill="1" applyBorder="1"/>
    <xf numFmtId="2" fontId="0" fillId="4" borderId="6" xfId="0" applyNumberFormat="1" applyFill="1" applyBorder="1"/>
    <xf numFmtId="0" fontId="0" fillId="4" borderId="6" xfId="0" applyFill="1" applyBorder="1"/>
    <xf numFmtId="2" fontId="2" fillId="2" borderId="2" xfId="0" applyNumberFormat="1" applyFont="1" applyFill="1" applyBorder="1" applyAlignment="1">
      <alignment horizontal="right" vertical="center" wrapText="1"/>
    </xf>
    <xf numFmtId="0" fontId="15" fillId="5" borderId="7" xfId="0" applyFont="1" applyFill="1" applyBorder="1"/>
    <xf numFmtId="0" fontId="17" fillId="5" borderId="15" xfId="0" applyFont="1" applyFill="1" applyBorder="1"/>
    <xf numFmtId="1" fontId="15" fillId="5" borderId="15" xfId="0" applyNumberFormat="1" applyFont="1" applyFill="1" applyBorder="1"/>
    <xf numFmtId="0" fontId="15" fillId="5" borderId="15" xfId="0" applyFont="1" applyFill="1" applyBorder="1"/>
    <xf numFmtId="1" fontId="17" fillId="5" borderId="15" xfId="0" applyNumberFormat="1" applyFont="1" applyFill="1" applyBorder="1"/>
    <xf numFmtId="1" fontId="15" fillId="2" borderId="15" xfId="0" applyNumberFormat="1" applyFont="1" applyFill="1" applyBorder="1"/>
    <xf numFmtId="1" fontId="17" fillId="5" borderId="7" xfId="0" applyNumberFormat="1" applyFont="1" applyFill="1" applyBorder="1" applyAlignment="1">
      <alignment horizontal="center"/>
    </xf>
    <xf numFmtId="1" fontId="17" fillId="6" borderId="15" xfId="0" applyNumberFormat="1" applyFont="1" applyFill="1" applyBorder="1"/>
    <xf numFmtId="0" fontId="15" fillId="6" borderId="7" xfId="0" applyFont="1" applyFill="1" applyBorder="1"/>
    <xf numFmtId="0" fontId="17" fillId="6" borderId="15" xfId="0" applyFont="1" applyFill="1" applyBorder="1"/>
    <xf numFmtId="0" fontId="17" fillId="6" borderId="13" xfId="0" applyFont="1" applyFill="1" applyBorder="1"/>
    <xf numFmtId="1" fontId="9" fillId="0" borderId="0" xfId="0" applyNumberFormat="1" applyFont="1" applyFill="1"/>
    <xf numFmtId="2" fontId="2" fillId="2" borderId="0" xfId="0" applyNumberFormat="1" applyFont="1" applyFill="1" applyBorder="1" applyAlignment="1">
      <alignment horizontal="center"/>
    </xf>
    <xf numFmtId="2" fontId="15" fillId="2" borderId="0" xfId="0" applyNumberFormat="1" applyFont="1" applyFill="1" applyBorder="1" applyAlignment="1">
      <alignment horizontal="center"/>
    </xf>
    <xf numFmtId="2" fontId="0" fillId="0" borderId="0" xfId="0" applyNumberFormat="1"/>
    <xf numFmtId="2" fontId="9" fillId="0" borderId="0" xfId="0" applyNumberFormat="1" applyFont="1" applyFill="1"/>
    <xf numFmtId="2" fontId="9" fillId="0" borderId="0" xfId="0" applyNumberFormat="1" applyFont="1" applyFill="1" applyAlignment="1">
      <alignment horizontal="right"/>
    </xf>
    <xf numFmtId="2" fontId="8" fillId="3" borderId="0" xfId="0" applyNumberFormat="1" applyFont="1" applyFill="1"/>
    <xf numFmtId="2" fontId="18" fillId="3" borderId="0" xfId="0" applyNumberFormat="1" applyFont="1" applyFill="1" applyAlignment="1">
      <alignment horizontal="center"/>
    </xf>
    <xf numFmtId="0" fontId="0" fillId="2" borderId="7" xfId="0" applyFill="1" applyBorder="1"/>
    <xf numFmtId="169" fontId="0" fillId="2" borderId="8" xfId="0" applyNumberFormat="1" applyFill="1" applyBorder="1" applyAlignment="1">
      <alignment horizontal="right"/>
    </xf>
    <xf numFmtId="169" fontId="0" fillId="2" borderId="9" xfId="0" applyNumberFormat="1" applyFill="1" applyBorder="1" applyAlignment="1">
      <alignment horizontal="right"/>
    </xf>
    <xf numFmtId="169" fontId="0" fillId="2" borderId="9" xfId="0" applyNumberFormat="1" applyFill="1" applyBorder="1" applyAlignment="1">
      <alignment horizontal="center"/>
    </xf>
    <xf numFmtId="0" fontId="0" fillId="4" borderId="0" xfId="0" applyFill="1" applyBorder="1"/>
    <xf numFmtId="0" fontId="0" fillId="7" borderId="0" xfId="0" applyFill="1" applyBorder="1"/>
    <xf numFmtId="4" fontId="2" fillId="0" borderId="0" xfId="0" applyNumberFormat="1" applyFont="1" applyFill="1"/>
    <xf numFmtId="4" fontId="2" fillId="0" borderId="0" xfId="0" applyNumberFormat="1" applyFont="1" applyFill="1" applyAlignment="1">
      <alignment horizontal="right"/>
    </xf>
    <xf numFmtId="2" fontId="2" fillId="0" borderId="0" xfId="0" applyNumberFormat="1" applyFont="1" applyFill="1"/>
    <xf numFmtId="2" fontId="2" fillId="2" borderId="0" xfId="0" applyNumberFormat="1" applyFont="1" applyFill="1" applyBorder="1" applyAlignment="1">
      <alignment horizontal="right"/>
    </xf>
    <xf numFmtId="0" fontId="15" fillId="2" borderId="1" xfId="0" applyFont="1" applyFill="1" applyBorder="1"/>
    <xf numFmtId="0" fontId="15" fillId="2" borderId="10" xfId="0" applyFont="1" applyFill="1" applyBorder="1"/>
    <xf numFmtId="0" fontId="0" fillId="0" borderId="12" xfId="0" applyBorder="1"/>
    <xf numFmtId="0" fontId="0" fillId="0" borderId="3" xfId="0" applyBorder="1"/>
    <xf numFmtId="0" fontId="0" fillId="0" borderId="13" xfId="0" applyBorder="1"/>
    <xf numFmtId="0" fontId="0" fillId="0" borderId="5" xfId="0" applyBorder="1"/>
    <xf numFmtId="0" fontId="0" fillId="0" borderId="14" xfId="0" applyBorder="1"/>
    <xf numFmtId="0" fontId="0" fillId="0" borderId="11" xfId="0" applyBorder="1"/>
    <xf numFmtId="0" fontId="0" fillId="0" borderId="15" xfId="0" applyBorder="1"/>
    <xf numFmtId="0" fontId="0" fillId="0" borderId="9" xfId="0" applyBorder="1"/>
    <xf numFmtId="0" fontId="0" fillId="0" borderId="4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7" xfId="0" applyBorder="1" applyAlignment="1">
      <alignment horizontal="left"/>
    </xf>
    <xf numFmtId="0" fontId="2" fillId="0" borderId="13" xfId="0" applyFont="1" applyBorder="1"/>
    <xf numFmtId="0" fontId="2" fillId="0" borderId="12" xfId="0" applyFont="1" applyBorder="1"/>
    <xf numFmtId="0" fontId="2" fillId="0" borderId="13" xfId="0" applyFont="1" applyFill="1" applyBorder="1"/>
    <xf numFmtId="0" fontId="2" fillId="0" borderId="14" xfId="0" applyFont="1" applyBorder="1"/>
    <xf numFmtId="0" fontId="24" fillId="0" borderId="0" xfId="1" applyFont="1" applyAlignment="1" applyProtection="1"/>
    <xf numFmtId="0" fontId="26" fillId="0" borderId="0" xfId="0" applyFont="1"/>
    <xf numFmtId="0" fontId="2" fillId="0" borderId="0" xfId="0" applyFont="1" applyFill="1" applyBorder="1"/>
    <xf numFmtId="0" fontId="25" fillId="0" borderId="0" xfId="1" applyFont="1" applyAlignment="1" applyProtection="1"/>
    <xf numFmtId="0" fontId="25" fillId="8" borderId="0" xfId="1" applyFont="1" applyFill="1" applyAlignment="1" applyProtection="1">
      <alignment vertical="center"/>
    </xf>
    <xf numFmtId="6" fontId="2" fillId="0" borderId="0" xfId="0" applyNumberFormat="1" applyFont="1"/>
    <xf numFmtId="0" fontId="27" fillId="0" borderId="0" xfId="0" applyFont="1"/>
    <xf numFmtId="0" fontId="19" fillId="2" borderId="0" xfId="0" applyFont="1" applyFill="1"/>
    <xf numFmtId="1" fontId="2" fillId="0" borderId="0" xfId="0" applyNumberFormat="1" applyFont="1" applyFill="1"/>
    <xf numFmtId="1" fontId="2" fillId="0" borderId="0" xfId="0" applyNumberFormat="1" applyFont="1"/>
    <xf numFmtId="1" fontId="8" fillId="3" borderId="0" xfId="0" applyNumberFormat="1" applyFont="1" applyFill="1"/>
    <xf numFmtId="2" fontId="20" fillId="0" borderId="0" xfId="0" applyNumberFormat="1" applyFont="1" applyFill="1"/>
    <xf numFmtId="2" fontId="20" fillId="0" borderId="0" xfId="0" applyNumberFormat="1" applyFont="1"/>
    <xf numFmtId="1" fontId="0" fillId="4" borderId="5" xfId="0" applyNumberFormat="1" applyFill="1" applyBorder="1" applyAlignment="1">
      <alignment horizontal="center"/>
    </xf>
    <xf numFmtId="0" fontId="2" fillId="0" borderId="0" xfId="0" applyFont="1" applyBorder="1"/>
    <xf numFmtId="0" fontId="28" fillId="0" borderId="0" xfId="0" applyFont="1"/>
    <xf numFmtId="0" fontId="23" fillId="2" borderId="0" xfId="0" applyFont="1" applyFill="1" applyAlignment="1">
      <alignment horizontal="right" wrapText="1"/>
    </xf>
    <xf numFmtId="0" fontId="23" fillId="2" borderId="0" xfId="0" applyFont="1" applyFill="1" applyAlignment="1">
      <alignment horizontal="right"/>
    </xf>
    <xf numFmtId="0" fontId="23" fillId="0" borderId="0" xfId="0" applyFont="1"/>
    <xf numFmtId="14" fontId="23" fillId="0" borderId="0" xfId="0" applyNumberFormat="1" applyFont="1"/>
    <xf numFmtId="0" fontId="23" fillId="2" borderId="0" xfId="0" applyFont="1" applyFill="1" applyBorder="1"/>
    <xf numFmtId="0" fontId="23" fillId="2" borderId="0" xfId="0" applyFont="1" applyFill="1" applyBorder="1" applyAlignment="1">
      <alignment horizontal="right" wrapText="1"/>
    </xf>
    <xf numFmtId="0" fontId="23" fillId="2" borderId="0" xfId="0" applyFont="1" applyFill="1" applyBorder="1" applyAlignment="1">
      <alignment horizontal="right"/>
    </xf>
    <xf numFmtId="0" fontId="23" fillId="0" borderId="0" xfId="0" applyFont="1" applyBorder="1"/>
    <xf numFmtId="0" fontId="23" fillId="2" borderId="0" xfId="0" applyFont="1" applyFill="1" applyBorder="1" applyAlignment="1">
      <alignment horizontal="center"/>
    </xf>
    <xf numFmtId="1" fontId="23" fillId="2" borderId="0" xfId="0" applyNumberFormat="1" applyFont="1" applyFill="1" applyBorder="1" applyAlignment="1">
      <alignment horizontal="center"/>
    </xf>
    <xf numFmtId="0" fontId="23" fillId="2" borderId="0" xfId="0" quotePrefix="1" applyFont="1" applyFill="1" applyBorder="1" applyAlignment="1">
      <alignment horizontal="center"/>
    </xf>
    <xf numFmtId="0" fontId="17" fillId="2" borderId="0" xfId="0" applyFont="1" applyFill="1" applyBorder="1" applyAlignment="1">
      <alignment horizontal="right" wrapText="1"/>
    </xf>
    <xf numFmtId="2" fontId="2" fillId="0" borderId="0" xfId="0" applyNumberFormat="1" applyFont="1" applyFill="1" applyBorder="1" applyAlignment="1">
      <alignment horizontal="right"/>
    </xf>
    <xf numFmtId="0" fontId="2" fillId="2" borderId="0" xfId="0" applyFont="1" applyFill="1" applyBorder="1"/>
    <xf numFmtId="2" fontId="2" fillId="0" borderId="0" xfId="0" applyNumberFormat="1" applyFont="1" applyFill="1" applyAlignment="1">
      <alignment horizontal="left"/>
    </xf>
    <xf numFmtId="2" fontId="2" fillId="4" borderId="0" xfId="0" applyNumberFormat="1" applyFont="1" applyFill="1"/>
    <xf numFmtId="2" fontId="2" fillId="4" borderId="0" xfId="0" applyNumberFormat="1" applyFont="1" applyFill="1" applyAlignment="1">
      <alignment horizontal="right"/>
    </xf>
    <xf numFmtId="2" fontId="2" fillId="0" borderId="0" xfId="0" applyNumberFormat="1" applyFont="1" applyFill="1" applyAlignment="1">
      <alignment horizontal="right"/>
    </xf>
    <xf numFmtId="0" fontId="8" fillId="3" borderId="0" xfId="0" applyFont="1" applyFill="1" applyBorder="1"/>
    <xf numFmtId="0" fontId="2" fillId="4" borderId="0" xfId="0" applyFont="1" applyFill="1" applyBorder="1"/>
    <xf numFmtId="0" fontId="0" fillId="4" borderId="0" xfId="0" applyFill="1"/>
    <xf numFmtId="2" fontId="0" fillId="0" borderId="0" xfId="0" applyNumberFormat="1" applyBorder="1"/>
    <xf numFmtId="0" fontId="5" fillId="0" borderId="0" xfId="0" applyFont="1" applyAlignment="1">
      <alignment horizontal="left"/>
    </xf>
    <xf numFmtId="0" fontId="29" fillId="0" borderId="0" xfId="0" applyFont="1"/>
    <xf numFmtId="0" fontId="2" fillId="7" borderId="0" xfId="0" applyFont="1" applyFill="1"/>
    <xf numFmtId="0" fontId="0" fillId="0" borderId="0" xfId="0" applyFill="1"/>
    <xf numFmtId="0" fontId="30" fillId="0" borderId="0" xfId="0" applyFont="1"/>
    <xf numFmtId="2" fontId="2" fillId="2" borderId="0" xfId="0" quotePrefix="1" applyNumberFormat="1" applyFont="1" applyFill="1" applyBorder="1" applyAlignment="1">
      <alignment horizontal="right"/>
    </xf>
    <xf numFmtId="0" fontId="0" fillId="2" borderId="0" xfId="0" applyFill="1" applyBorder="1" applyAlignment="1"/>
    <xf numFmtId="0" fontId="0" fillId="2" borderId="0" xfId="0" applyFill="1" applyBorder="1" applyAlignment="1">
      <alignment horizontal="right" vertical="center"/>
    </xf>
    <xf numFmtId="1" fontId="0" fillId="4" borderId="3" xfId="0" applyNumberFormat="1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1" fontId="0" fillId="4" borderId="9" xfId="0" applyNumberForma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3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/>
    </xf>
    <xf numFmtId="0" fontId="31" fillId="0" borderId="0" xfId="0" applyFont="1"/>
    <xf numFmtId="0" fontId="13" fillId="0" borderId="0" xfId="1" applyAlignment="1" applyProtection="1"/>
    <xf numFmtId="6" fontId="0" fillId="0" borderId="0" xfId="0" applyNumberFormat="1"/>
    <xf numFmtId="14" fontId="0" fillId="2" borderId="0" xfId="0" applyNumberFormat="1" applyFill="1"/>
    <xf numFmtId="0" fontId="0" fillId="7" borderId="0" xfId="0" applyFill="1"/>
    <xf numFmtId="0" fontId="0" fillId="6" borderId="0" xfId="0" applyFill="1"/>
    <xf numFmtId="0" fontId="0" fillId="9" borderId="0" xfId="0" applyFill="1"/>
    <xf numFmtId="0" fontId="0" fillId="10" borderId="0" xfId="0" applyFill="1"/>
    <xf numFmtId="0" fontId="15" fillId="10" borderId="0" xfId="0" applyFont="1" applyFill="1"/>
    <xf numFmtId="1" fontId="6" fillId="0" borderId="0" xfId="0" applyNumberFormat="1" applyFont="1" applyFill="1"/>
    <xf numFmtId="2" fontId="6" fillId="0" borderId="0" xfId="0" applyNumberFormat="1" applyFont="1" applyFill="1"/>
    <xf numFmtId="2" fontId="6" fillId="0" borderId="0" xfId="0" applyNumberFormat="1" applyFont="1"/>
    <xf numFmtId="0" fontId="2" fillId="0" borderId="0" xfId="0" applyFont="1" applyAlignment="1">
      <alignment horizontal="right"/>
    </xf>
    <xf numFmtId="0" fontId="0" fillId="0" borderId="0" xfId="0" applyAlignment="1"/>
    <xf numFmtId="0" fontId="24" fillId="0" borderId="0" xfId="1" applyFont="1" applyAlignment="1" applyProtection="1">
      <alignment vertical="center"/>
    </xf>
    <xf numFmtId="170" fontId="2" fillId="4" borderId="0" xfId="0" applyNumberFormat="1" applyFont="1" applyFill="1" applyBorder="1" applyAlignment="1">
      <alignment horizontal="right"/>
    </xf>
    <xf numFmtId="2" fontId="2" fillId="2" borderId="0" xfId="0" applyNumberFormat="1" applyFont="1" applyFill="1" applyBorder="1" applyAlignment="1">
      <alignment horizontal="left"/>
    </xf>
    <xf numFmtId="2" fontId="0" fillId="7" borderId="0" xfId="0" applyNumberFormat="1" applyFill="1" applyBorder="1"/>
    <xf numFmtId="2" fontId="0" fillId="7" borderId="13" xfId="0" applyNumberFormat="1" applyFill="1" applyBorder="1"/>
    <xf numFmtId="2" fontId="2" fillId="2" borderId="0" xfId="0" applyNumberFormat="1" applyFont="1" applyFill="1" applyBorder="1"/>
    <xf numFmtId="14" fontId="0" fillId="0" borderId="0" xfId="0" applyNumberFormat="1"/>
    <xf numFmtId="0" fontId="2" fillId="2" borderId="0" xfId="0" applyFont="1" applyFill="1"/>
    <xf numFmtId="0" fontId="0" fillId="0" borderId="5" xfId="0" applyBorder="1" applyAlignment="1">
      <alignment horizontal="left"/>
    </xf>
    <xf numFmtId="0" fontId="0" fillId="0" borderId="11" xfId="0" applyFill="1" applyBorder="1" applyAlignment="1">
      <alignment horizontal="left"/>
    </xf>
    <xf numFmtId="0" fontId="2" fillId="0" borderId="5" xfId="0" applyFont="1" applyBorder="1" applyAlignment="1">
      <alignment horizontal="left"/>
    </xf>
    <xf numFmtId="0" fontId="0" fillId="0" borderId="5" xfId="0" applyFill="1" applyBorder="1" applyAlignment="1">
      <alignment horizontal="left"/>
    </xf>
    <xf numFmtId="2" fontId="0" fillId="0" borderId="0" xfId="0" applyNumberFormat="1" applyFill="1" applyBorder="1"/>
    <xf numFmtId="0" fontId="0" fillId="0" borderId="0" xfId="0" quotePrefix="1"/>
    <xf numFmtId="1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" fontId="9" fillId="0" borderId="0" xfId="0" applyNumberFormat="1" applyFont="1"/>
    <xf numFmtId="0" fontId="2" fillId="0" borderId="0" xfId="2"/>
    <xf numFmtId="2" fontId="2" fillId="0" borderId="0" xfId="2" applyNumberFormat="1"/>
    <xf numFmtId="0" fontId="2" fillId="0" borderId="0" xfId="2" applyFont="1" applyFill="1"/>
    <xf numFmtId="0" fontId="2" fillId="0" borderId="0" xfId="2" applyFont="1"/>
    <xf numFmtId="0" fontId="2" fillId="0" borderId="0" xfId="2" applyFill="1" applyBorder="1"/>
    <xf numFmtId="0" fontId="2" fillId="0" borderId="0" xfId="2" applyFill="1"/>
    <xf numFmtId="0" fontId="2" fillId="0" borderId="0" xfId="2" applyFont="1" applyFill="1" applyBorder="1"/>
    <xf numFmtId="0" fontId="2" fillId="7" borderId="0" xfId="2" applyFont="1" applyFill="1"/>
    <xf numFmtId="0" fontId="2" fillId="2" borderId="0" xfId="2" applyFont="1" applyFill="1" applyBorder="1"/>
    <xf numFmtId="2" fontId="2" fillId="0" borderId="0" xfId="2" applyNumberFormat="1" applyBorder="1"/>
    <xf numFmtId="0" fontId="6" fillId="0" borderId="0" xfId="2" applyFont="1"/>
    <xf numFmtId="2" fontId="2" fillId="0" borderId="0" xfId="2" applyNumberFormat="1" applyFont="1"/>
    <xf numFmtId="0" fontId="2" fillId="4" borderId="0" xfId="2" applyFont="1" applyFill="1"/>
    <xf numFmtId="2" fontId="2" fillId="4" borderId="0" xfId="2" applyNumberFormat="1" applyFont="1" applyFill="1"/>
    <xf numFmtId="0" fontId="20" fillId="0" borderId="0" xfId="2" applyFont="1"/>
    <xf numFmtId="2" fontId="8" fillId="3" borderId="0" xfId="2" applyNumberFormat="1" applyFont="1" applyFill="1" applyAlignment="1">
      <alignment horizontal="center"/>
    </xf>
    <xf numFmtId="0" fontId="8" fillId="3" borderId="0" xfId="2" applyFont="1" applyFill="1"/>
    <xf numFmtId="2" fontId="2" fillId="0" borderId="0" xfId="2" applyNumberFormat="1" applyFont="1" applyFill="1"/>
    <xf numFmtId="0" fontId="2" fillId="4" borderId="0" xfId="2" applyFont="1" applyFill="1" applyAlignment="1">
      <alignment horizontal="center"/>
    </xf>
    <xf numFmtId="2" fontId="2" fillId="4" borderId="0" xfId="2" applyNumberFormat="1" applyFont="1" applyFill="1" applyAlignment="1">
      <alignment horizontal="center"/>
    </xf>
    <xf numFmtId="0" fontId="8" fillId="3" borderId="0" xfId="2" applyFont="1" applyFill="1" applyBorder="1"/>
    <xf numFmtId="0" fontId="20" fillId="0" borderId="0" xfId="2" applyFont="1" applyFill="1"/>
    <xf numFmtId="0" fontId="2" fillId="0" borderId="0" xfId="2" applyFont="1" applyAlignment="1">
      <alignment horizontal="center"/>
    </xf>
    <xf numFmtId="1" fontId="2" fillId="0" borderId="0" xfId="2" applyNumberFormat="1" applyFont="1" applyFill="1"/>
    <xf numFmtId="0" fontId="2" fillId="4" borderId="0" xfId="2" quotePrefix="1" applyFont="1" applyFill="1"/>
    <xf numFmtId="2" fontId="2" fillId="4" borderId="0" xfId="2" applyNumberFormat="1" applyFont="1" applyFill="1" applyAlignment="1">
      <alignment horizontal="left"/>
    </xf>
    <xf numFmtId="0" fontId="19" fillId="0" borderId="0" xfId="2" applyFont="1"/>
    <xf numFmtId="1" fontId="0" fillId="6" borderId="5" xfId="0" applyNumberFormat="1" applyFill="1" applyBorder="1" applyAlignment="1">
      <alignment horizontal="right"/>
    </xf>
    <xf numFmtId="1" fontId="0" fillId="7" borderId="5" xfId="0" applyNumberFormat="1" applyFill="1" applyBorder="1" applyAlignment="1">
      <alignment horizontal="right"/>
    </xf>
    <xf numFmtId="1" fontId="0" fillId="11" borderId="5" xfId="0" applyNumberFormat="1" applyFill="1" applyBorder="1" applyAlignment="1">
      <alignment horizontal="right"/>
    </xf>
    <xf numFmtId="1" fontId="0" fillId="11" borderId="5" xfId="0" quotePrefix="1" applyNumberFormat="1" applyFill="1" applyBorder="1" applyAlignment="1">
      <alignment horizontal="right"/>
    </xf>
    <xf numFmtId="0" fontId="2" fillId="2" borderId="2" xfId="0" applyFont="1" applyFill="1" applyBorder="1" applyAlignment="1">
      <alignment horizontal="right" vertical="center" wrapText="1"/>
    </xf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32</xdr:row>
      <xdr:rowOff>114300</xdr:rowOff>
    </xdr:from>
    <xdr:to>
      <xdr:col>0</xdr:col>
      <xdr:colOff>1104900</xdr:colOff>
      <xdr:row>34</xdr:row>
      <xdr:rowOff>95250</xdr:rowOff>
    </xdr:to>
    <xdr:sp macro="" textlink="">
      <xdr:nvSpPr>
        <xdr:cNvPr id="2" name="AutoShape 3" descr="Displaying image.pn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" y="5429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11</xdr:col>
      <xdr:colOff>393607</xdr:colOff>
      <xdr:row>14</xdr:row>
      <xdr:rowOff>28575</xdr:rowOff>
    </xdr:to>
    <xdr:pic>
      <xdr:nvPicPr>
        <xdr:cNvPr id="3" name="Picture 2" descr="Property ID: 018AI018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0"/>
          <a:ext cx="3441607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16</xdr:row>
      <xdr:rowOff>38100</xdr:rowOff>
    </xdr:from>
    <xdr:to>
      <xdr:col>11</xdr:col>
      <xdr:colOff>386033</xdr:colOff>
      <xdr:row>31</xdr:row>
      <xdr:rowOff>123825</xdr:rowOff>
    </xdr:to>
    <xdr:pic>
      <xdr:nvPicPr>
        <xdr:cNvPr id="5" name="Picture 4" descr="http://www.surfcoastrentals.com.au/bookings/temp/f5fe0dac2462a85c00336dea255e82d9.jpg_big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466975"/>
          <a:ext cx="3414983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32</xdr:row>
      <xdr:rowOff>142874</xdr:rowOff>
    </xdr:from>
    <xdr:to>
      <xdr:col>11</xdr:col>
      <xdr:colOff>381000</xdr:colOff>
      <xdr:row>47</xdr:row>
      <xdr:rowOff>87629</xdr:rowOff>
    </xdr:to>
    <xdr:pic>
      <xdr:nvPicPr>
        <xdr:cNvPr id="15" name="Picture 14" descr="Front of house">
          <a:extLst>
            <a:ext uri="{FF2B5EF4-FFF2-40B4-BE49-F238E27FC236}">
              <a16:creationId xmlns="" xmlns:a16="http://schemas.microsoft.com/office/drawing/2014/main" id="{8610D1B0-D00B-4BE3-852A-3E6D385FD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5200649"/>
          <a:ext cx="3390900" cy="2373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228600</xdr:colOff>
      <xdr:row>20</xdr:row>
      <xdr:rowOff>9524</xdr:rowOff>
    </xdr:from>
    <xdr:to>
      <xdr:col>28</xdr:col>
      <xdr:colOff>495300</xdr:colOff>
      <xdr:row>31</xdr:row>
      <xdr:rowOff>19049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A13FAC7A-88D1-4F02-A2A0-FD1BE5402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44300" y="3086099"/>
          <a:ext cx="514350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0</xdr:row>
      <xdr:rowOff>19051</xdr:rowOff>
    </xdr:from>
    <xdr:to>
      <xdr:col>11</xdr:col>
      <xdr:colOff>395805</xdr:colOff>
      <xdr:row>13</xdr:row>
      <xdr:rowOff>152400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4E1E8B6C-2E56-4FF9-8D12-C4A65F578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90825" y="19051"/>
          <a:ext cx="3434280" cy="223837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0</xdr:rowOff>
    </xdr:from>
    <xdr:to>
      <xdr:col>35</xdr:col>
      <xdr:colOff>428190</xdr:colOff>
      <xdr:row>43</xdr:row>
      <xdr:rowOff>27717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F9C60EE0-A3DF-47D2-9D13-B4ED8BEB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411700" y="161925"/>
          <a:ext cx="3476190" cy="6866667"/>
        </a:xfrm>
        <a:prstGeom prst="rect">
          <a:avLst/>
        </a:prstGeom>
      </xdr:spPr>
    </xdr:pic>
    <xdr:clientData/>
  </xdr:twoCellAnchor>
  <xdr:oneCellAnchor>
    <xdr:from>
      <xdr:col>30</xdr:col>
      <xdr:colOff>1</xdr:colOff>
      <xdr:row>50</xdr:row>
      <xdr:rowOff>161924</xdr:rowOff>
    </xdr:from>
    <xdr:ext cx="3438524" cy="2578893"/>
    <xdr:pic>
      <xdr:nvPicPr>
        <xdr:cNvPr id="11" name="Picture 10">
          <a:extLst>
            <a:ext uri="{FF2B5EF4-FFF2-40B4-BE49-F238E27FC236}">
              <a16:creationId xmlns="" xmlns:a16="http://schemas.microsoft.com/office/drawing/2014/main" id="{D158B284-7925-4B2E-B7FA-82B90253D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81301" y="8134349"/>
          <a:ext cx="3438524" cy="2578893"/>
        </a:xfrm>
        <a:prstGeom prst="rect">
          <a:avLst/>
        </a:prstGeom>
      </xdr:spPr>
    </xdr:pic>
    <xdr:clientData/>
  </xdr:oneCellAnchor>
  <xdr:twoCellAnchor editAs="oneCell">
    <xdr:from>
      <xdr:col>6</xdr:col>
      <xdr:colOff>9525</xdr:colOff>
      <xdr:row>50</xdr:row>
      <xdr:rowOff>161924</xdr:rowOff>
    </xdr:from>
    <xdr:to>
      <xdr:col>11</xdr:col>
      <xdr:colOff>352425</xdr:colOff>
      <xdr:row>66</xdr:row>
      <xdr:rowOff>85724</xdr:rowOff>
    </xdr:to>
    <xdr:pic>
      <xdr:nvPicPr>
        <xdr:cNvPr id="13" name="Picture 12" descr="https://odis.homeaway.com/odis/stayz/4a877973-df9e-420e-b426-fc462f1d6e70.s3.jpg">
          <a:extLst>
            <a:ext uri="{FF2B5EF4-FFF2-40B4-BE49-F238E27FC236}">
              <a16:creationId xmlns="" xmlns:a16="http://schemas.microsoft.com/office/drawing/2014/main" id="{7227579D-B995-412B-95FB-8D1C35EAB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8134349"/>
          <a:ext cx="3390900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67</xdr:row>
      <xdr:rowOff>0</xdr:rowOff>
    </xdr:from>
    <xdr:to>
      <xdr:col>11</xdr:col>
      <xdr:colOff>355600</xdr:colOff>
      <xdr:row>82</xdr:row>
      <xdr:rowOff>123825</xdr:rowOff>
    </xdr:to>
    <xdr:pic>
      <xdr:nvPicPr>
        <xdr:cNvPr id="16" name="Picture 15" descr="https://odis.homeaway.com/odis/stayz/5080f9c7-bc75-403d-9668-65c0e88795a4.s3.jpg">
          <a:extLst>
            <a:ext uri="{FF2B5EF4-FFF2-40B4-BE49-F238E27FC236}">
              <a16:creationId xmlns="" xmlns:a16="http://schemas.microsoft.com/office/drawing/2014/main" id="{335289CB-6897-4E15-8566-6F8C3D47D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0753725"/>
          <a:ext cx="3403600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mail.google.com/mail/ca/u/0/?shva=1" TargetMode="External"/><Relationship Id="rId2" Type="http://schemas.openxmlformats.org/officeDocument/2006/relationships/hyperlink" Target="http://www.surfcoasttrailmarathon.com.au/" TargetMode="External"/><Relationship Id="rId1" Type="http://schemas.openxmlformats.org/officeDocument/2006/relationships/hyperlink" Target="http://www.greatoceanretreats.com.au/accommodation/Aireys-Inlet/-Region-/354-Property-ID-024AI047/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www.stayz.com.au/accommodation/qld/gold-coast/broadbeach/2111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H187"/>
  <sheetViews>
    <sheetView tabSelected="1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5" sqref="A25:XFD25"/>
    </sheetView>
  </sheetViews>
  <sheetFormatPr defaultRowHeight="12.75" x14ac:dyDescent="0.2"/>
  <cols>
    <col min="1" max="1" width="20" style="7" customWidth="1"/>
    <col min="2" max="2" width="11" style="2" customWidth="1"/>
    <col min="3" max="3" width="9.85546875" style="3" customWidth="1"/>
    <col min="4" max="4" width="11.42578125" style="2" customWidth="1"/>
    <col min="5" max="5" width="9.140625" style="5"/>
    <col min="6" max="6" width="12.85546875" style="4" customWidth="1"/>
    <col min="7" max="7" width="9.140625" style="5"/>
    <col min="8" max="8" width="11.5703125" style="5" customWidth="1"/>
    <col min="9" max="9" width="10.140625" style="5" customWidth="1"/>
    <col min="10" max="10" width="11.7109375" style="4" customWidth="1"/>
    <col min="11" max="11" width="9.140625" style="5"/>
    <col min="12" max="12" width="11" style="4" customWidth="1"/>
    <col min="13" max="13" width="9.140625" style="5"/>
    <col min="14" max="14" width="9.85546875" style="4" customWidth="1"/>
    <col min="15" max="15" width="9.140625" style="5"/>
    <col min="16" max="16" width="10.42578125" style="4" customWidth="1"/>
    <col min="17" max="17" width="9.140625" style="5" customWidth="1"/>
    <col min="18" max="18" width="10.42578125" style="4" customWidth="1"/>
    <col min="19" max="19" width="9.140625" style="5"/>
    <col min="20" max="20" width="9.140625" style="4"/>
    <col min="21" max="21" width="9.140625" style="5"/>
    <col min="22" max="22" width="12.5703125" style="6" customWidth="1"/>
    <col min="23" max="23" width="9.140625" style="6"/>
    <col min="24" max="24" width="9.140625" style="310"/>
    <col min="25" max="25" width="10.28515625" style="7" customWidth="1"/>
    <col min="26" max="26" width="9.140625" style="7"/>
    <col min="27" max="27" width="9.5703125" style="7" customWidth="1"/>
    <col min="28" max="28" width="10.28515625" style="7" customWidth="1"/>
    <col min="29" max="29" width="10" style="7" customWidth="1"/>
    <col min="30" max="31" width="9.140625" style="7"/>
    <col min="32" max="32" width="11.28515625" style="7" customWidth="1"/>
    <col min="33" max="16384" width="9.140625" style="7"/>
  </cols>
  <sheetData>
    <row r="1" spans="1:34" ht="30" x14ac:dyDescent="0.4">
      <c r="A1" s="1" t="s">
        <v>624</v>
      </c>
    </row>
    <row r="2" spans="1:34" ht="17.25" customHeight="1" x14ac:dyDescent="0.5">
      <c r="A2" s="8"/>
    </row>
    <row r="3" spans="1:34" s="17" customFormat="1" ht="25.5" x14ac:dyDescent="0.2">
      <c r="A3" s="9"/>
      <c r="B3" s="10" t="s">
        <v>29</v>
      </c>
      <c r="C3" s="11"/>
      <c r="D3" s="219" t="s">
        <v>400</v>
      </c>
      <c r="E3" s="13"/>
      <c r="F3" s="219" t="s">
        <v>401</v>
      </c>
      <c r="G3" s="11"/>
      <c r="H3" s="12" t="s">
        <v>40</v>
      </c>
      <c r="I3" s="13"/>
      <c r="J3" s="10" t="s">
        <v>38</v>
      </c>
      <c r="K3" s="13"/>
      <c r="L3" s="219" t="s">
        <v>314</v>
      </c>
      <c r="M3" s="13"/>
      <c r="N3" s="93" t="s">
        <v>82</v>
      </c>
      <c r="O3" s="11"/>
      <c r="P3" s="219" t="s">
        <v>389</v>
      </c>
      <c r="Q3" s="11"/>
      <c r="R3" s="14" t="s">
        <v>41</v>
      </c>
      <c r="S3" s="11"/>
      <c r="T3" s="380" t="s">
        <v>1017</v>
      </c>
      <c r="U3" s="11"/>
      <c r="V3" s="15" t="s">
        <v>44</v>
      </c>
      <c r="W3" s="16"/>
      <c r="X3" s="311"/>
      <c r="Y3" s="7"/>
      <c r="Z3" s="7"/>
      <c r="AA3" s="7"/>
      <c r="AB3" s="7"/>
      <c r="AC3" s="7"/>
      <c r="AD3" s="7"/>
      <c r="AE3" s="7"/>
      <c r="AF3" s="7"/>
      <c r="AH3" s="7"/>
    </row>
    <row r="4" spans="1:34" s="3" customFormat="1" x14ac:dyDescent="0.2">
      <c r="A4" s="18"/>
      <c r="B4" s="19">
        <v>42847</v>
      </c>
      <c r="C4" s="20"/>
      <c r="D4" s="19">
        <v>42868</v>
      </c>
      <c r="E4" s="20"/>
      <c r="F4" s="19">
        <v>42882</v>
      </c>
      <c r="G4" s="20"/>
      <c r="H4" s="19">
        <v>42903</v>
      </c>
      <c r="I4" s="20"/>
      <c r="J4" s="19">
        <v>42924</v>
      </c>
      <c r="K4" s="20"/>
      <c r="L4" s="19">
        <v>42932</v>
      </c>
      <c r="M4" s="20"/>
      <c r="N4" s="19">
        <v>42945</v>
      </c>
      <c r="O4" s="20"/>
      <c r="P4" s="19">
        <v>42959</v>
      </c>
      <c r="Q4" s="20"/>
      <c r="R4" s="19">
        <v>42988</v>
      </c>
      <c r="S4" s="21"/>
      <c r="T4" s="19">
        <v>42994</v>
      </c>
      <c r="U4" s="21"/>
      <c r="V4" s="22"/>
      <c r="W4" s="5"/>
      <c r="X4" s="5"/>
      <c r="Y4" s="7"/>
      <c r="Z4" s="7"/>
      <c r="AA4" s="7"/>
      <c r="AB4" s="7"/>
      <c r="AC4" s="7"/>
      <c r="AD4" s="7"/>
      <c r="AE4" s="7"/>
      <c r="AF4" s="7"/>
      <c r="AH4" s="7"/>
    </row>
    <row r="5" spans="1:34" s="3" customFormat="1" x14ac:dyDescent="0.2">
      <c r="A5" s="32"/>
      <c r="B5" s="33" t="s">
        <v>0</v>
      </c>
      <c r="C5" s="34" t="s">
        <v>1</v>
      </c>
      <c r="D5" s="33" t="s">
        <v>0</v>
      </c>
      <c r="E5" s="34" t="s">
        <v>1</v>
      </c>
      <c r="F5" s="33" t="s">
        <v>0</v>
      </c>
      <c r="G5" s="34" t="s">
        <v>1</v>
      </c>
      <c r="H5" s="33" t="s">
        <v>0</v>
      </c>
      <c r="I5" s="34" t="s">
        <v>1</v>
      </c>
      <c r="J5" s="33" t="s">
        <v>0</v>
      </c>
      <c r="K5" s="34" t="s">
        <v>1</v>
      </c>
      <c r="L5" s="33" t="s">
        <v>0</v>
      </c>
      <c r="M5" s="34" t="s">
        <v>1</v>
      </c>
      <c r="N5" s="33" t="s">
        <v>0</v>
      </c>
      <c r="O5" s="34" t="s">
        <v>1</v>
      </c>
      <c r="P5" s="33" t="s">
        <v>0</v>
      </c>
      <c r="Q5" s="34" t="s">
        <v>65</v>
      </c>
      <c r="R5" s="33" t="s">
        <v>0</v>
      </c>
      <c r="S5" s="34" t="s">
        <v>1</v>
      </c>
      <c r="T5" s="33" t="s">
        <v>0</v>
      </c>
      <c r="U5" s="34" t="s">
        <v>1</v>
      </c>
      <c r="V5" s="35"/>
      <c r="W5" s="5"/>
      <c r="X5" s="5"/>
      <c r="Y5" s="7"/>
      <c r="Z5" s="7"/>
      <c r="AA5" s="7"/>
      <c r="AB5" s="7"/>
      <c r="AC5" s="7"/>
      <c r="AD5" s="7"/>
      <c r="AE5" s="7"/>
      <c r="AF5" s="7"/>
      <c r="AH5" s="7"/>
    </row>
    <row r="6" spans="1:34" x14ac:dyDescent="0.2">
      <c r="A6" s="36" t="s">
        <v>46</v>
      </c>
      <c r="B6" s="76" t="s">
        <v>89</v>
      </c>
      <c r="C6" s="21"/>
      <c r="D6" s="76" t="s">
        <v>35</v>
      </c>
      <c r="E6" s="21"/>
      <c r="F6" s="76" t="s">
        <v>32</v>
      </c>
      <c r="G6" s="21"/>
      <c r="H6" s="76" t="s">
        <v>566</v>
      </c>
      <c r="I6" s="21"/>
      <c r="J6" s="76" t="s">
        <v>115</v>
      </c>
      <c r="K6" s="21"/>
      <c r="L6" s="76" t="s">
        <v>31</v>
      </c>
      <c r="M6" s="21"/>
      <c r="N6" s="76" t="s">
        <v>30</v>
      </c>
      <c r="O6" s="21"/>
      <c r="P6" s="76" t="s">
        <v>107</v>
      </c>
      <c r="Q6" s="88"/>
      <c r="R6" s="76" t="s">
        <v>36</v>
      </c>
      <c r="S6" s="21"/>
      <c r="T6" s="76" t="s">
        <v>37</v>
      </c>
      <c r="U6" s="21"/>
      <c r="V6" s="22"/>
    </row>
    <row r="7" spans="1:34" x14ac:dyDescent="0.2">
      <c r="A7" s="24" t="s">
        <v>64</v>
      </c>
      <c r="B7" s="4"/>
      <c r="C7" s="21"/>
      <c r="D7" s="4"/>
      <c r="E7" s="21"/>
      <c r="F7" s="4">
        <v>54.49</v>
      </c>
      <c r="G7" s="21">
        <v>55</v>
      </c>
      <c r="H7" s="4">
        <v>35.57</v>
      </c>
      <c r="I7" s="21">
        <v>76</v>
      </c>
      <c r="J7" s="4">
        <v>21.04</v>
      </c>
      <c r="K7" s="21">
        <v>94</v>
      </c>
      <c r="L7" s="4">
        <v>35.299999999999997</v>
      </c>
      <c r="M7" s="21">
        <v>133</v>
      </c>
      <c r="N7" s="4">
        <v>55.43</v>
      </c>
      <c r="O7" s="21">
        <v>97</v>
      </c>
      <c r="Q7" s="88"/>
      <c r="S7" s="21"/>
      <c r="U7" s="21"/>
      <c r="V7" s="279">
        <f>COUNT(B7:U7)/2</f>
        <v>5</v>
      </c>
    </row>
    <row r="8" spans="1:34" x14ac:dyDescent="0.2">
      <c r="A8" s="24" t="s">
        <v>66</v>
      </c>
      <c r="B8" s="4">
        <v>21.44</v>
      </c>
      <c r="C8" s="21">
        <v>138</v>
      </c>
      <c r="D8" s="4"/>
      <c r="E8" s="21"/>
      <c r="F8" s="4">
        <v>58.14</v>
      </c>
      <c r="G8" s="21">
        <v>85</v>
      </c>
      <c r="H8" s="4"/>
      <c r="I8" s="21"/>
      <c r="K8" s="21"/>
      <c r="M8" s="21"/>
      <c r="O8" s="21"/>
      <c r="Q8" s="88"/>
      <c r="R8" s="4">
        <v>82.1</v>
      </c>
      <c r="S8" s="21">
        <v>123</v>
      </c>
      <c r="U8" s="21"/>
      <c r="V8" s="279">
        <f t="shared" ref="V8:V47" si="0">COUNT(B8:U8)/2</f>
        <v>3</v>
      </c>
    </row>
    <row r="9" spans="1:34" x14ac:dyDescent="0.2">
      <c r="A9" s="24" t="s">
        <v>4</v>
      </c>
      <c r="B9" s="4">
        <v>21.16</v>
      </c>
      <c r="C9" s="21">
        <v>115</v>
      </c>
      <c r="D9" s="4">
        <v>32.119999999999997</v>
      </c>
      <c r="E9" s="21">
        <v>112</v>
      </c>
      <c r="F9" s="4">
        <v>60.18</v>
      </c>
      <c r="G9" s="21">
        <v>112</v>
      </c>
      <c r="H9" s="4">
        <v>38.49</v>
      </c>
      <c r="I9" s="21">
        <v>139</v>
      </c>
      <c r="J9" s="4">
        <v>22.2</v>
      </c>
      <c r="K9" s="21">
        <v>173</v>
      </c>
      <c r="L9" s="4">
        <v>36</v>
      </c>
      <c r="M9" s="21">
        <v>149</v>
      </c>
      <c r="O9" s="21"/>
      <c r="Q9" s="88"/>
      <c r="S9" s="21"/>
      <c r="U9" s="21"/>
      <c r="V9" s="279">
        <f t="shared" si="0"/>
        <v>6</v>
      </c>
    </row>
    <row r="10" spans="1:34" x14ac:dyDescent="0.2">
      <c r="A10" s="24" t="s">
        <v>96</v>
      </c>
      <c r="B10" s="4"/>
      <c r="C10" s="21"/>
      <c r="D10" s="4">
        <v>36.07</v>
      </c>
      <c r="E10" s="21">
        <v>213</v>
      </c>
      <c r="G10" s="21"/>
      <c r="H10" s="4"/>
      <c r="I10" s="21"/>
      <c r="J10" s="4">
        <v>23.06</v>
      </c>
      <c r="K10" s="21">
        <v>226</v>
      </c>
      <c r="L10" s="4">
        <v>38.15</v>
      </c>
      <c r="M10" s="21">
        <v>224</v>
      </c>
      <c r="N10" s="4">
        <v>58.18</v>
      </c>
      <c r="O10" s="21">
        <v>139</v>
      </c>
      <c r="Q10" s="88"/>
      <c r="R10" s="4">
        <v>81.319999999999993</v>
      </c>
      <c r="S10" s="21">
        <v>107</v>
      </c>
      <c r="U10" s="21"/>
      <c r="V10" s="279">
        <f t="shared" si="0"/>
        <v>5</v>
      </c>
    </row>
    <row r="11" spans="1:34" x14ac:dyDescent="0.2">
      <c r="A11" s="187" t="s">
        <v>77</v>
      </c>
      <c r="B11" s="4">
        <v>21.38</v>
      </c>
      <c r="C11" s="21">
        <v>132</v>
      </c>
      <c r="D11" s="4"/>
      <c r="E11" s="21"/>
      <c r="G11" s="21"/>
      <c r="H11" s="4"/>
      <c r="I11" s="21"/>
      <c r="J11" s="4">
        <v>21.33</v>
      </c>
      <c r="K11" s="21">
        <v>127</v>
      </c>
      <c r="M11" s="21"/>
      <c r="O11" s="21"/>
      <c r="Q11" s="88"/>
      <c r="S11" s="21"/>
      <c r="U11" s="21"/>
      <c r="V11" s="279">
        <f t="shared" si="0"/>
        <v>2</v>
      </c>
    </row>
    <row r="12" spans="1:34" x14ac:dyDescent="0.2">
      <c r="A12" s="24" t="s">
        <v>174</v>
      </c>
      <c r="B12" s="4">
        <v>23.11</v>
      </c>
      <c r="C12" s="21">
        <v>224</v>
      </c>
      <c r="D12" s="4">
        <v>33.01</v>
      </c>
      <c r="E12" s="21">
        <v>132</v>
      </c>
      <c r="F12" s="4">
        <v>60.55</v>
      </c>
      <c r="G12" s="21">
        <v>116</v>
      </c>
      <c r="H12" s="4">
        <v>38.369999999999997</v>
      </c>
      <c r="I12" s="21">
        <v>136</v>
      </c>
      <c r="K12" s="21"/>
      <c r="L12" s="4">
        <v>36.22</v>
      </c>
      <c r="M12" s="21">
        <v>162</v>
      </c>
      <c r="N12" s="4">
        <v>57.5</v>
      </c>
      <c r="O12" s="21">
        <v>127</v>
      </c>
      <c r="Q12" s="88"/>
      <c r="R12" s="4">
        <v>77.459999999999994</v>
      </c>
      <c r="S12" s="21">
        <v>64</v>
      </c>
      <c r="U12" s="21"/>
      <c r="V12" s="279">
        <f>COUNT(B12:U12)/2</f>
        <v>7</v>
      </c>
    </row>
    <row r="13" spans="1:34" x14ac:dyDescent="0.2">
      <c r="A13" s="24" t="s">
        <v>26</v>
      </c>
      <c r="B13" s="4">
        <v>22.41</v>
      </c>
      <c r="C13" s="21">
        <v>194</v>
      </c>
      <c r="D13" s="4">
        <v>33.549999999999997</v>
      </c>
      <c r="E13" s="21">
        <v>154</v>
      </c>
      <c r="F13" s="4">
        <v>62.49</v>
      </c>
      <c r="G13" s="21">
        <v>142</v>
      </c>
      <c r="H13" s="4">
        <v>44.15</v>
      </c>
      <c r="I13" s="21">
        <v>286</v>
      </c>
      <c r="K13" s="21"/>
      <c r="L13" s="4">
        <v>38.07</v>
      </c>
      <c r="M13" s="21">
        <v>218</v>
      </c>
      <c r="N13" s="4">
        <v>58.24</v>
      </c>
      <c r="O13" s="21">
        <v>141</v>
      </c>
      <c r="P13" s="4">
        <v>34.06</v>
      </c>
      <c r="Q13" s="88">
        <v>7.9</v>
      </c>
      <c r="R13" s="4">
        <v>82.49</v>
      </c>
      <c r="S13" s="21">
        <v>135</v>
      </c>
      <c r="U13" s="21"/>
      <c r="V13" s="279">
        <f>COUNT(B13:U13)/2</f>
        <v>8</v>
      </c>
    </row>
    <row r="14" spans="1:34" x14ac:dyDescent="0.2">
      <c r="A14" s="24" t="s">
        <v>28</v>
      </c>
      <c r="B14" s="4"/>
      <c r="C14" s="21"/>
      <c r="D14" s="4"/>
      <c r="E14" s="21"/>
      <c r="F14" s="4">
        <v>63.06</v>
      </c>
      <c r="G14" s="21">
        <v>146</v>
      </c>
      <c r="H14" s="4">
        <v>39.44</v>
      </c>
      <c r="I14" s="21">
        <v>166</v>
      </c>
      <c r="J14" s="4">
        <v>22.42</v>
      </c>
      <c r="K14" s="21">
        <v>200</v>
      </c>
      <c r="M14" s="21"/>
      <c r="O14" s="21"/>
      <c r="P14" s="4">
        <v>41.01</v>
      </c>
      <c r="Q14" s="88">
        <v>9.8000000000000007</v>
      </c>
      <c r="S14" s="21"/>
      <c r="U14" s="21"/>
      <c r="V14" s="279">
        <f t="shared" si="0"/>
        <v>4</v>
      </c>
    </row>
    <row r="15" spans="1:34" x14ac:dyDescent="0.2">
      <c r="A15" s="187" t="s">
        <v>956</v>
      </c>
      <c r="B15" s="4"/>
      <c r="C15" s="21"/>
      <c r="D15" s="177"/>
      <c r="E15" s="21"/>
      <c r="F15" s="4">
        <v>63.25</v>
      </c>
      <c r="G15" s="21">
        <v>151</v>
      </c>
      <c r="H15" s="4">
        <v>40.020000000000003</v>
      </c>
      <c r="I15" s="21">
        <v>174</v>
      </c>
      <c r="J15" s="4">
        <v>22.59</v>
      </c>
      <c r="K15" s="21">
        <v>218</v>
      </c>
      <c r="M15" s="21"/>
      <c r="O15" s="21"/>
      <c r="Q15" s="88"/>
      <c r="S15" s="21"/>
      <c r="U15" s="21"/>
      <c r="V15" s="279">
        <f>COUNT(B15:U15)/2</f>
        <v>3</v>
      </c>
    </row>
    <row r="16" spans="1:34" hidden="1" x14ac:dyDescent="0.2">
      <c r="A16" s="24" t="s">
        <v>98</v>
      </c>
      <c r="B16" s="4"/>
      <c r="C16" s="21"/>
      <c r="D16" s="4"/>
      <c r="E16" s="21"/>
      <c r="G16" s="21"/>
      <c r="H16" s="4"/>
      <c r="I16" s="21"/>
      <c r="K16" s="21"/>
      <c r="M16" s="21"/>
      <c r="O16" s="21"/>
      <c r="Q16" s="88"/>
      <c r="S16" s="21"/>
      <c r="U16" s="21"/>
      <c r="V16" s="279">
        <f t="shared" si="0"/>
        <v>0</v>
      </c>
    </row>
    <row r="17" spans="1:22" x14ac:dyDescent="0.2">
      <c r="A17" s="24" t="s">
        <v>342</v>
      </c>
      <c r="B17" s="4">
        <v>23.54</v>
      </c>
      <c r="C17" s="21">
        <v>270</v>
      </c>
      <c r="D17" s="294">
        <v>35.35</v>
      </c>
      <c r="E17" s="21">
        <v>203</v>
      </c>
      <c r="F17" s="4">
        <v>65.540000000000006</v>
      </c>
      <c r="G17" s="21">
        <v>189</v>
      </c>
      <c r="H17" s="4"/>
      <c r="I17" s="21"/>
      <c r="K17" s="21"/>
      <c r="L17" s="4">
        <v>39.11</v>
      </c>
      <c r="M17" s="21">
        <v>258</v>
      </c>
      <c r="N17" s="4">
        <v>60.55</v>
      </c>
      <c r="O17" s="21">
        <v>181</v>
      </c>
      <c r="P17" s="4">
        <v>47.06</v>
      </c>
      <c r="Q17" s="88">
        <v>9.8000000000000007</v>
      </c>
      <c r="R17" s="4">
        <v>92.45</v>
      </c>
      <c r="S17" s="21">
        <v>251</v>
      </c>
      <c r="U17" s="21"/>
      <c r="V17" s="279">
        <f t="shared" si="0"/>
        <v>7</v>
      </c>
    </row>
    <row r="18" spans="1:22" x14ac:dyDescent="0.2">
      <c r="A18" s="24" t="s">
        <v>391</v>
      </c>
      <c r="B18" s="4"/>
      <c r="C18" s="21"/>
      <c r="D18" s="4"/>
      <c r="E18" s="21"/>
      <c r="G18" s="21"/>
      <c r="H18" s="4">
        <v>41.11</v>
      </c>
      <c r="I18" s="21">
        <v>210</v>
      </c>
      <c r="J18" s="4">
        <v>23.25</v>
      </c>
      <c r="K18" s="21">
        <v>244</v>
      </c>
      <c r="L18" s="4">
        <v>38.4</v>
      </c>
      <c r="M18" s="21">
        <v>238</v>
      </c>
      <c r="N18" s="4">
        <v>59.29</v>
      </c>
      <c r="O18" s="21">
        <v>160</v>
      </c>
      <c r="P18" s="4">
        <v>22.05</v>
      </c>
      <c r="Q18" s="88">
        <v>5.2</v>
      </c>
      <c r="R18" s="4">
        <v>84.44</v>
      </c>
      <c r="S18" s="21">
        <v>164</v>
      </c>
      <c r="U18" s="21"/>
      <c r="V18" s="279">
        <f>COUNT(B18:U18)/2</f>
        <v>6</v>
      </c>
    </row>
    <row r="19" spans="1:22" x14ac:dyDescent="0.2">
      <c r="A19" s="24" t="s">
        <v>91</v>
      </c>
      <c r="B19" s="4">
        <v>23.52</v>
      </c>
      <c r="C19" s="21">
        <v>268</v>
      </c>
      <c r="D19" s="4"/>
      <c r="E19" s="21"/>
      <c r="F19" s="4">
        <v>69.06</v>
      </c>
      <c r="G19" s="21">
        <v>236</v>
      </c>
      <c r="H19" s="4">
        <v>41.51</v>
      </c>
      <c r="I19" s="21">
        <v>229</v>
      </c>
      <c r="K19" s="21"/>
      <c r="M19" s="21"/>
      <c r="O19" s="21"/>
      <c r="P19" s="4">
        <v>25.45</v>
      </c>
      <c r="Q19" s="88">
        <v>6</v>
      </c>
      <c r="S19" s="21"/>
      <c r="U19" s="21"/>
      <c r="V19" s="279">
        <f t="shared" si="0"/>
        <v>4</v>
      </c>
    </row>
    <row r="20" spans="1:22" x14ac:dyDescent="0.2">
      <c r="A20" s="24" t="s">
        <v>274</v>
      </c>
      <c r="B20" s="4"/>
      <c r="C20" s="21"/>
      <c r="D20" s="4"/>
      <c r="E20" s="21"/>
      <c r="G20" s="21"/>
      <c r="H20" s="4"/>
      <c r="I20" s="21"/>
      <c r="K20" s="21"/>
      <c r="M20" s="21"/>
      <c r="O20" s="21"/>
      <c r="Q20" s="88"/>
      <c r="S20" s="21"/>
      <c r="U20" s="21"/>
      <c r="V20" s="279">
        <f t="shared" si="0"/>
        <v>0</v>
      </c>
    </row>
    <row r="21" spans="1:22" x14ac:dyDescent="0.2">
      <c r="A21" s="24" t="s">
        <v>74</v>
      </c>
      <c r="B21" s="4"/>
      <c r="C21" s="21"/>
      <c r="D21" s="4"/>
      <c r="E21" s="21"/>
      <c r="G21" s="21"/>
      <c r="H21" s="4"/>
      <c r="I21" s="21"/>
      <c r="K21" s="21"/>
      <c r="M21" s="21"/>
      <c r="O21" s="21"/>
      <c r="Q21" s="88"/>
      <c r="S21" s="21"/>
      <c r="U21" s="21"/>
      <c r="V21" s="279">
        <f t="shared" si="0"/>
        <v>0</v>
      </c>
    </row>
    <row r="22" spans="1:22" x14ac:dyDescent="0.2">
      <c r="A22" s="24" t="s">
        <v>7</v>
      </c>
      <c r="B22" s="4">
        <v>24.54</v>
      </c>
      <c r="C22" s="21">
        <v>325</v>
      </c>
      <c r="D22" s="4">
        <v>36.32</v>
      </c>
      <c r="E22" s="21">
        <v>221</v>
      </c>
      <c r="F22" s="4">
        <v>66.36</v>
      </c>
      <c r="G22" s="21">
        <v>202</v>
      </c>
      <c r="H22" s="4">
        <v>43.12</v>
      </c>
      <c r="I22" s="21">
        <v>263</v>
      </c>
      <c r="J22" s="4">
        <v>24.47</v>
      </c>
      <c r="K22" s="21">
        <v>316</v>
      </c>
      <c r="L22" s="4">
        <v>40.47</v>
      </c>
      <c r="M22" s="21">
        <v>307</v>
      </c>
      <c r="N22" s="4">
        <v>61.59</v>
      </c>
      <c r="O22" s="21">
        <v>203</v>
      </c>
      <c r="P22" s="4">
        <v>45.49</v>
      </c>
      <c r="Q22" s="88">
        <v>9.8000000000000007</v>
      </c>
      <c r="R22" s="4">
        <v>88.05</v>
      </c>
      <c r="S22" s="21">
        <v>214</v>
      </c>
      <c r="U22" s="21"/>
      <c r="V22" s="279">
        <f t="shared" si="0"/>
        <v>9</v>
      </c>
    </row>
    <row r="23" spans="1:22" x14ac:dyDescent="0.2">
      <c r="A23" s="187" t="s">
        <v>73</v>
      </c>
      <c r="B23" s="4"/>
      <c r="C23" s="21"/>
      <c r="D23" s="4">
        <v>38.26</v>
      </c>
      <c r="E23" s="21">
        <v>279</v>
      </c>
      <c r="F23" s="4">
        <v>74.34</v>
      </c>
      <c r="G23" s="21">
        <v>292</v>
      </c>
      <c r="H23" s="4"/>
      <c r="I23" s="21"/>
      <c r="K23" s="21"/>
      <c r="M23" s="21"/>
      <c r="O23" s="21"/>
      <c r="P23" s="4">
        <v>24.47</v>
      </c>
      <c r="Q23" s="88">
        <v>5.2</v>
      </c>
      <c r="S23" s="21"/>
      <c r="U23" s="21"/>
      <c r="V23" s="279">
        <f t="shared" si="0"/>
        <v>3</v>
      </c>
    </row>
    <row r="24" spans="1:22" x14ac:dyDescent="0.2">
      <c r="A24" s="24" t="s">
        <v>78</v>
      </c>
      <c r="B24" s="4">
        <v>25.11</v>
      </c>
      <c r="C24" s="21">
        <v>340</v>
      </c>
      <c r="D24" s="4"/>
      <c r="E24" s="21"/>
      <c r="G24" s="21"/>
      <c r="H24" s="4"/>
      <c r="I24" s="21"/>
      <c r="J24" s="4">
        <v>23.59</v>
      </c>
      <c r="K24" s="21">
        <v>275</v>
      </c>
      <c r="M24" s="21"/>
      <c r="O24" s="21"/>
      <c r="Q24" s="88"/>
      <c r="S24" s="21"/>
      <c r="U24" s="21"/>
      <c r="V24" s="279">
        <f>COUNT(B24:U24)/2</f>
        <v>2</v>
      </c>
    </row>
    <row r="25" spans="1:22" x14ac:dyDescent="0.2">
      <c r="A25" s="24" t="s">
        <v>25</v>
      </c>
      <c r="B25" s="4">
        <v>26.18</v>
      </c>
      <c r="C25" s="21">
        <v>393</v>
      </c>
      <c r="D25" s="4"/>
      <c r="E25" s="21"/>
      <c r="G25" s="21"/>
      <c r="H25" s="4"/>
      <c r="I25" s="21"/>
      <c r="J25" s="4">
        <v>26.24</v>
      </c>
      <c r="K25" s="21">
        <v>390</v>
      </c>
      <c r="M25" s="21"/>
      <c r="O25" s="21"/>
      <c r="Q25" s="88"/>
      <c r="S25" s="21"/>
      <c r="U25" s="21"/>
      <c r="V25" s="279">
        <f t="shared" si="0"/>
        <v>2</v>
      </c>
    </row>
    <row r="26" spans="1:22" x14ac:dyDescent="0.2">
      <c r="A26" s="24" t="s">
        <v>90</v>
      </c>
      <c r="B26" s="4">
        <v>25.52</v>
      </c>
      <c r="C26" s="21">
        <v>366</v>
      </c>
      <c r="D26" s="177"/>
      <c r="E26" s="21"/>
      <c r="G26" s="21"/>
      <c r="H26" s="4"/>
      <c r="I26" s="21"/>
      <c r="K26" s="21"/>
      <c r="M26" s="21"/>
      <c r="O26" s="21"/>
      <c r="Q26" s="88"/>
      <c r="S26" s="21"/>
      <c r="U26" s="21"/>
      <c r="V26" s="279">
        <f t="shared" si="0"/>
        <v>1</v>
      </c>
    </row>
    <row r="27" spans="1:22" x14ac:dyDescent="0.2">
      <c r="A27" s="24" t="s">
        <v>111</v>
      </c>
      <c r="B27" s="4">
        <v>26.41</v>
      </c>
      <c r="C27" s="21">
        <v>409</v>
      </c>
      <c r="D27" s="177"/>
      <c r="E27" s="21"/>
      <c r="G27" s="21"/>
      <c r="H27" s="4">
        <v>47.24</v>
      </c>
      <c r="I27" s="21">
        <v>333</v>
      </c>
      <c r="J27" s="4">
        <v>25.13</v>
      </c>
      <c r="K27" s="21">
        <v>340</v>
      </c>
      <c r="L27" s="4">
        <v>41.52</v>
      </c>
      <c r="M27" s="21">
        <v>340</v>
      </c>
      <c r="N27" s="4">
        <v>63.43</v>
      </c>
      <c r="O27" s="21">
        <v>216</v>
      </c>
      <c r="Q27" s="88"/>
      <c r="R27" s="4">
        <v>93.14</v>
      </c>
      <c r="S27" s="21">
        <v>256</v>
      </c>
      <c r="U27" s="21"/>
      <c r="V27" s="279">
        <f>COUNT(B27:U27)/2</f>
        <v>6</v>
      </c>
    </row>
    <row r="28" spans="1:22" x14ac:dyDescent="0.2">
      <c r="A28" s="24" t="s">
        <v>125</v>
      </c>
      <c r="B28" s="4"/>
      <c r="C28" s="21"/>
      <c r="D28" s="4">
        <v>39.11</v>
      </c>
      <c r="E28" s="21">
        <v>291</v>
      </c>
      <c r="F28" s="4">
        <v>71.53</v>
      </c>
      <c r="G28" s="21">
        <v>268</v>
      </c>
      <c r="H28" s="4"/>
      <c r="I28" s="21"/>
      <c r="K28" s="21"/>
      <c r="L28" s="4">
        <v>42</v>
      </c>
      <c r="M28" s="21">
        <v>345</v>
      </c>
      <c r="O28" s="21"/>
      <c r="Q28" s="88"/>
      <c r="R28" s="309"/>
      <c r="S28" s="21"/>
      <c r="U28" s="21"/>
      <c r="V28" s="279">
        <f>COUNT(B28:U28)/2</f>
        <v>3</v>
      </c>
    </row>
    <row r="29" spans="1:22" x14ac:dyDescent="0.2">
      <c r="A29" s="24" t="s">
        <v>286</v>
      </c>
      <c r="B29" s="4">
        <v>30.41</v>
      </c>
      <c r="C29" s="21">
        <v>504</v>
      </c>
      <c r="D29" s="294">
        <v>44.16</v>
      </c>
      <c r="E29" s="21">
        <v>365</v>
      </c>
      <c r="F29" s="4">
        <v>80.12</v>
      </c>
      <c r="G29" s="21">
        <v>322</v>
      </c>
      <c r="H29" s="4">
        <v>50.22</v>
      </c>
      <c r="I29" s="21">
        <v>361</v>
      </c>
      <c r="J29" s="4">
        <v>28.08</v>
      </c>
      <c r="K29" s="21">
        <v>452</v>
      </c>
      <c r="L29" s="4">
        <v>45.26</v>
      </c>
      <c r="M29" s="21">
        <v>403</v>
      </c>
      <c r="N29" s="4">
        <v>74</v>
      </c>
      <c r="O29" s="21">
        <v>301</v>
      </c>
      <c r="P29" s="4">
        <v>42.46</v>
      </c>
      <c r="Q29" s="88">
        <v>7.9</v>
      </c>
      <c r="R29" s="4">
        <v>100.41</v>
      </c>
      <c r="S29" s="21">
        <v>302</v>
      </c>
      <c r="U29" s="21"/>
      <c r="V29" s="279">
        <f t="shared" si="0"/>
        <v>9</v>
      </c>
    </row>
    <row r="30" spans="1:22" x14ac:dyDescent="0.2">
      <c r="A30" s="187" t="s">
        <v>289</v>
      </c>
      <c r="B30" s="4">
        <v>28.38</v>
      </c>
      <c r="C30" s="21">
        <v>465</v>
      </c>
      <c r="D30" s="177">
        <v>42.47</v>
      </c>
      <c r="E30" s="21">
        <v>345</v>
      </c>
      <c r="F30" s="4">
        <v>82.46</v>
      </c>
      <c r="G30" s="21">
        <v>330</v>
      </c>
      <c r="H30" s="4">
        <v>52.41</v>
      </c>
      <c r="I30" s="21">
        <v>380</v>
      </c>
      <c r="K30" s="21"/>
      <c r="L30" s="4">
        <v>46.04</v>
      </c>
      <c r="M30" s="21">
        <v>408</v>
      </c>
      <c r="O30" s="21"/>
      <c r="P30" s="4">
        <v>32.07</v>
      </c>
      <c r="Q30" s="88">
        <v>6</v>
      </c>
      <c r="R30" s="4">
        <v>119.45</v>
      </c>
      <c r="S30" s="21">
        <v>364</v>
      </c>
      <c r="U30" s="21"/>
      <c r="V30" s="279">
        <f>COUNT(B30:U30)/2</f>
        <v>7</v>
      </c>
    </row>
    <row r="31" spans="1:22" x14ac:dyDescent="0.2">
      <c r="A31" s="24" t="s">
        <v>119</v>
      </c>
      <c r="B31" s="4">
        <v>28.25</v>
      </c>
      <c r="C31" s="21">
        <v>459</v>
      </c>
      <c r="D31" s="4">
        <v>43.16</v>
      </c>
      <c r="E31" s="21">
        <v>352</v>
      </c>
      <c r="G31" s="21"/>
      <c r="H31" s="4"/>
      <c r="I31" s="21"/>
      <c r="J31" s="248"/>
      <c r="K31" s="21"/>
      <c r="M31" s="21"/>
      <c r="O31" s="21"/>
      <c r="Q31" s="88"/>
      <c r="S31" s="21"/>
      <c r="U31" s="21"/>
      <c r="V31" s="279">
        <f t="shared" si="0"/>
        <v>2</v>
      </c>
    </row>
    <row r="32" spans="1:22" x14ac:dyDescent="0.2">
      <c r="A32" s="24" t="s">
        <v>23</v>
      </c>
      <c r="B32" s="4">
        <v>34.299999999999997</v>
      </c>
      <c r="C32" s="21">
        <v>525</v>
      </c>
      <c r="D32" s="177">
        <v>52.44</v>
      </c>
      <c r="E32" s="21">
        <v>390</v>
      </c>
      <c r="F32" s="4">
        <v>105.29</v>
      </c>
      <c r="G32" s="21">
        <v>354</v>
      </c>
      <c r="H32" s="4">
        <v>69.5</v>
      </c>
      <c r="I32" s="21">
        <v>410</v>
      </c>
      <c r="K32" s="21"/>
      <c r="L32" s="4">
        <v>58</v>
      </c>
      <c r="M32" s="21">
        <v>466</v>
      </c>
      <c r="N32" s="4">
        <v>86.48</v>
      </c>
      <c r="O32" s="21">
        <v>336</v>
      </c>
      <c r="Q32" s="88"/>
      <c r="R32" s="309"/>
      <c r="S32" s="21"/>
      <c r="U32" s="21"/>
      <c r="V32" s="279">
        <f t="shared" si="0"/>
        <v>6</v>
      </c>
    </row>
    <row r="33" spans="1:22" x14ac:dyDescent="0.2">
      <c r="A33" s="24" t="s">
        <v>6</v>
      </c>
      <c r="B33" s="4"/>
      <c r="C33" s="21"/>
      <c r="D33" s="4"/>
      <c r="E33" s="21"/>
      <c r="G33" s="21"/>
      <c r="H33" s="4"/>
      <c r="I33" s="21"/>
      <c r="J33" s="4">
        <v>32.020000000000003</v>
      </c>
      <c r="K33" s="21">
        <v>511</v>
      </c>
      <c r="M33" s="21"/>
      <c r="O33" s="21"/>
      <c r="Q33" s="88"/>
      <c r="S33" s="21"/>
      <c r="U33" s="21"/>
      <c r="V33" s="279">
        <f t="shared" si="0"/>
        <v>1</v>
      </c>
    </row>
    <row r="34" spans="1:22" hidden="1" x14ac:dyDescent="0.2">
      <c r="A34" s="24" t="s">
        <v>67</v>
      </c>
      <c r="B34" s="4"/>
      <c r="C34" s="21"/>
      <c r="D34" s="4"/>
      <c r="E34" s="21"/>
      <c r="G34" s="21"/>
      <c r="H34" s="4"/>
      <c r="I34" s="21"/>
      <c r="K34" s="21"/>
      <c r="M34" s="21"/>
      <c r="O34" s="21"/>
      <c r="Q34" s="88"/>
      <c r="S34" s="21"/>
      <c r="U34" s="21"/>
      <c r="V34" s="279">
        <f t="shared" si="0"/>
        <v>0</v>
      </c>
    </row>
    <row r="35" spans="1:22" hidden="1" x14ac:dyDescent="0.2">
      <c r="A35" s="24" t="s">
        <v>94</v>
      </c>
      <c r="B35" s="4"/>
      <c r="C35" s="21"/>
      <c r="D35" s="4"/>
      <c r="E35" s="21"/>
      <c r="G35" s="21"/>
      <c r="H35" s="4"/>
      <c r="I35" s="21"/>
      <c r="K35" s="21"/>
      <c r="M35" s="21"/>
      <c r="O35" s="21"/>
      <c r="Q35" s="88"/>
      <c r="S35" s="21"/>
      <c r="U35" s="21"/>
      <c r="V35" s="279">
        <f t="shared" si="0"/>
        <v>0</v>
      </c>
    </row>
    <row r="36" spans="1:22" hidden="1" x14ac:dyDescent="0.2">
      <c r="A36" s="24" t="s">
        <v>93</v>
      </c>
      <c r="B36" s="4"/>
      <c r="C36" s="21"/>
      <c r="D36" s="4"/>
      <c r="E36" s="21"/>
      <c r="F36" s="183"/>
      <c r="G36" s="21"/>
      <c r="H36" s="4"/>
      <c r="I36" s="21"/>
      <c r="K36" s="21"/>
      <c r="M36" s="21"/>
      <c r="O36" s="21"/>
      <c r="Q36" s="88"/>
      <c r="S36" s="21"/>
      <c r="U36" s="21"/>
      <c r="V36" s="279">
        <f t="shared" si="0"/>
        <v>0</v>
      </c>
    </row>
    <row r="37" spans="1:22" hidden="1" x14ac:dyDescent="0.2">
      <c r="A37" s="24" t="s">
        <v>283</v>
      </c>
      <c r="B37" s="4"/>
      <c r="C37" s="21"/>
      <c r="D37" s="4"/>
      <c r="E37" s="21"/>
      <c r="G37" s="21"/>
      <c r="H37" s="4"/>
      <c r="I37" s="21"/>
      <c r="K37" s="21"/>
      <c r="M37" s="21"/>
      <c r="O37" s="21"/>
      <c r="Q37" s="88"/>
      <c r="S37" s="21"/>
      <c r="U37" s="21"/>
      <c r="V37" s="279">
        <f t="shared" si="0"/>
        <v>0</v>
      </c>
    </row>
    <row r="38" spans="1:22" hidden="1" x14ac:dyDescent="0.2">
      <c r="A38" s="24" t="s">
        <v>285</v>
      </c>
      <c r="B38" s="4"/>
      <c r="C38" s="21"/>
      <c r="D38" s="177"/>
      <c r="E38" s="21"/>
      <c r="G38" s="21"/>
      <c r="H38" s="4"/>
      <c r="I38" s="21"/>
      <c r="K38" s="21"/>
      <c r="M38" s="21"/>
      <c r="O38" s="21"/>
      <c r="Q38" s="88"/>
      <c r="S38" s="21"/>
      <c r="U38" s="21"/>
      <c r="V38" s="279">
        <f t="shared" si="0"/>
        <v>0</v>
      </c>
    </row>
    <row r="39" spans="1:22" hidden="1" x14ac:dyDescent="0.2">
      <c r="A39" s="24" t="s">
        <v>263</v>
      </c>
      <c r="B39" s="4"/>
      <c r="C39" s="21"/>
      <c r="D39" s="177"/>
      <c r="E39" s="21"/>
      <c r="G39" s="21"/>
      <c r="H39" s="4"/>
      <c r="I39" s="21"/>
      <c r="K39" s="21"/>
      <c r="M39" s="21"/>
      <c r="O39" s="21"/>
      <c r="Q39" s="88"/>
      <c r="S39" s="21"/>
      <c r="U39" s="21"/>
      <c r="V39" s="279">
        <f t="shared" si="0"/>
        <v>0</v>
      </c>
    </row>
    <row r="40" spans="1:22" hidden="1" x14ac:dyDescent="0.2">
      <c r="A40" s="24" t="s">
        <v>152</v>
      </c>
      <c r="B40" s="4"/>
      <c r="C40" s="21"/>
      <c r="D40" s="177"/>
      <c r="E40" s="21"/>
      <c r="G40" s="21"/>
      <c r="H40" s="4"/>
      <c r="I40" s="21"/>
      <c r="K40" s="21"/>
      <c r="M40" s="21"/>
      <c r="O40" s="21"/>
      <c r="Q40" s="88"/>
      <c r="S40" s="21"/>
      <c r="U40" s="21"/>
      <c r="V40" s="279">
        <f t="shared" si="0"/>
        <v>0</v>
      </c>
    </row>
    <row r="41" spans="1:22" hidden="1" x14ac:dyDescent="0.2">
      <c r="A41" s="24" t="s">
        <v>95</v>
      </c>
      <c r="B41" s="4"/>
      <c r="C41" s="21"/>
      <c r="D41" s="4"/>
      <c r="E41" s="21"/>
      <c r="G41" s="21"/>
      <c r="H41" s="4"/>
      <c r="I41" s="21"/>
      <c r="K41" s="21"/>
      <c r="M41" s="21"/>
      <c r="O41" s="21"/>
      <c r="Q41" s="88"/>
      <c r="S41" s="21"/>
      <c r="U41" s="21"/>
      <c r="V41" s="279">
        <f t="shared" si="0"/>
        <v>0</v>
      </c>
    </row>
    <row r="42" spans="1:22" hidden="1" x14ac:dyDescent="0.2">
      <c r="A42" s="24" t="s">
        <v>130</v>
      </c>
      <c r="B42" s="4"/>
      <c r="C42" s="21"/>
      <c r="D42" s="177"/>
      <c r="E42" s="21"/>
      <c r="G42" s="21"/>
      <c r="H42" s="4"/>
      <c r="I42" s="21"/>
      <c r="K42" s="21"/>
      <c r="M42" s="21"/>
      <c r="O42" s="21"/>
      <c r="Q42" s="88"/>
      <c r="S42" s="21"/>
      <c r="U42" s="21"/>
      <c r="V42" s="279">
        <f t="shared" si="0"/>
        <v>0</v>
      </c>
    </row>
    <row r="43" spans="1:22" hidden="1" x14ac:dyDescent="0.2">
      <c r="A43" s="24" t="s">
        <v>121</v>
      </c>
      <c r="B43" s="4"/>
      <c r="C43" s="21"/>
      <c r="D43" s="4"/>
      <c r="E43" s="21"/>
      <c r="G43" s="21"/>
      <c r="H43" s="4"/>
      <c r="I43" s="21"/>
      <c r="K43" s="21"/>
      <c r="M43" s="21"/>
      <c r="O43" s="21"/>
      <c r="Q43" s="88"/>
      <c r="S43" s="21"/>
      <c r="U43" s="21"/>
      <c r="V43" s="279">
        <f t="shared" si="0"/>
        <v>0</v>
      </c>
    </row>
    <row r="44" spans="1:22" hidden="1" x14ac:dyDescent="0.2">
      <c r="A44" s="24" t="s">
        <v>97</v>
      </c>
      <c r="B44" s="4"/>
      <c r="C44" s="21"/>
      <c r="D44" s="177"/>
      <c r="E44" s="21"/>
      <c r="G44" s="21"/>
      <c r="H44" s="4"/>
      <c r="I44" s="21"/>
      <c r="K44" s="21"/>
      <c r="M44" s="21"/>
      <c r="O44" s="21"/>
      <c r="Q44" s="88"/>
      <c r="S44" s="21"/>
      <c r="U44" s="21"/>
      <c r="V44" s="279">
        <f t="shared" si="0"/>
        <v>0</v>
      </c>
    </row>
    <row r="45" spans="1:22" hidden="1" x14ac:dyDescent="0.2">
      <c r="A45" s="24" t="s">
        <v>79</v>
      </c>
      <c r="B45" s="4"/>
      <c r="C45" s="21"/>
      <c r="D45" s="177"/>
      <c r="E45" s="21"/>
      <c r="G45" s="21"/>
      <c r="H45" s="4"/>
      <c r="I45" s="21"/>
      <c r="K45" s="21"/>
      <c r="M45" s="21"/>
      <c r="O45" s="21"/>
      <c r="Q45" s="88"/>
      <c r="S45" s="21"/>
      <c r="U45" s="21"/>
      <c r="V45" s="279">
        <f t="shared" si="0"/>
        <v>0</v>
      </c>
    </row>
    <row r="46" spans="1:22" hidden="1" x14ac:dyDescent="0.2">
      <c r="A46" s="24" t="s">
        <v>127</v>
      </c>
      <c r="B46" s="4"/>
      <c r="C46" s="21"/>
      <c r="D46" s="177"/>
      <c r="E46" s="21"/>
      <c r="G46" s="21"/>
      <c r="H46" s="4"/>
      <c r="I46" s="21"/>
      <c r="K46" s="21"/>
      <c r="M46" s="21"/>
      <c r="O46" s="21"/>
      <c r="Q46" s="88"/>
      <c r="S46" s="21"/>
      <c r="U46" s="21"/>
      <c r="V46" s="279">
        <f t="shared" si="0"/>
        <v>0</v>
      </c>
    </row>
    <row r="47" spans="1:22" hidden="1" x14ac:dyDescent="0.2">
      <c r="A47" s="24" t="s">
        <v>92</v>
      </c>
      <c r="B47" s="4"/>
      <c r="C47" s="21"/>
      <c r="D47" s="177"/>
      <c r="E47" s="21"/>
      <c r="G47" s="21"/>
      <c r="H47" s="4"/>
      <c r="I47" s="21"/>
      <c r="K47" s="21"/>
      <c r="M47" s="21"/>
      <c r="O47" s="21"/>
      <c r="Q47" s="88"/>
      <c r="S47" s="21"/>
      <c r="U47" s="21"/>
      <c r="V47" s="279">
        <f t="shared" si="0"/>
        <v>0</v>
      </c>
    </row>
    <row r="48" spans="1:22" hidden="1" x14ac:dyDescent="0.2">
      <c r="A48" s="24" t="s">
        <v>27</v>
      </c>
      <c r="B48" s="4"/>
      <c r="C48" s="21"/>
      <c r="D48" s="4"/>
      <c r="E48" s="21"/>
      <c r="G48" s="21"/>
      <c r="H48" s="4"/>
      <c r="I48" s="21"/>
      <c r="K48" s="21"/>
      <c r="M48" s="21"/>
      <c r="O48" s="21"/>
      <c r="Q48" s="88"/>
      <c r="S48" s="21"/>
      <c r="U48" s="21"/>
      <c r="V48" s="279">
        <f>COUNT(B48:U48)/2</f>
        <v>0</v>
      </c>
    </row>
    <row r="49" spans="1:23" hidden="1" x14ac:dyDescent="0.2">
      <c r="A49" s="187" t="s">
        <v>563</v>
      </c>
      <c r="B49" s="4"/>
      <c r="C49" s="21"/>
      <c r="D49" s="4"/>
      <c r="E49" s="21"/>
      <c r="G49" s="21"/>
      <c r="H49" s="4"/>
      <c r="I49" s="21"/>
      <c r="K49" s="21"/>
      <c r="M49" s="21"/>
      <c r="O49" s="21"/>
      <c r="Q49" s="88"/>
      <c r="S49" s="21"/>
      <c r="U49" s="21"/>
      <c r="V49" s="279">
        <f>COUNT(B49:U49)/2</f>
        <v>0</v>
      </c>
    </row>
    <row r="50" spans="1:23" hidden="1" x14ac:dyDescent="0.2">
      <c r="A50" s="187" t="s">
        <v>394</v>
      </c>
      <c r="B50" s="4"/>
      <c r="C50" s="21"/>
      <c r="D50" s="4"/>
      <c r="E50" s="21"/>
      <c r="G50" s="21"/>
      <c r="H50" s="4"/>
      <c r="I50" s="21"/>
      <c r="K50" s="21"/>
      <c r="M50" s="21"/>
      <c r="O50" s="21"/>
      <c r="Q50" s="88"/>
      <c r="S50" s="21"/>
      <c r="U50" s="21"/>
      <c r="V50" s="279">
        <f>COUNT(B50:U50)/2</f>
        <v>0</v>
      </c>
    </row>
    <row r="51" spans="1:23" x14ac:dyDescent="0.2">
      <c r="A51" s="26" t="s">
        <v>8</v>
      </c>
      <c r="B51" s="81"/>
      <c r="C51" s="82">
        <v>539</v>
      </c>
      <c r="D51" s="178"/>
      <c r="E51" s="82">
        <v>393</v>
      </c>
      <c r="F51" s="81"/>
      <c r="G51" s="82">
        <v>357</v>
      </c>
      <c r="H51" s="23"/>
      <c r="I51" s="82">
        <v>413</v>
      </c>
      <c r="J51" s="81"/>
      <c r="K51" s="82">
        <v>527</v>
      </c>
      <c r="L51" s="23"/>
      <c r="M51" s="82">
        <v>471</v>
      </c>
      <c r="N51" s="23"/>
      <c r="O51" s="82">
        <v>339</v>
      </c>
      <c r="P51" s="23"/>
      <c r="Q51" s="89"/>
      <c r="R51" s="23"/>
      <c r="S51" s="82">
        <v>371</v>
      </c>
      <c r="T51" s="23"/>
      <c r="U51" s="82"/>
      <c r="V51" s="312"/>
      <c r="W51" s="28"/>
    </row>
    <row r="52" spans="1:23" x14ac:dyDescent="0.2">
      <c r="A52" s="24"/>
      <c r="B52" s="4"/>
      <c r="C52" s="21"/>
      <c r="D52" s="177"/>
      <c r="E52" s="21"/>
      <c r="G52" s="21"/>
      <c r="H52" s="4"/>
      <c r="I52" s="21"/>
      <c r="K52" s="21"/>
      <c r="M52" s="21"/>
      <c r="O52" s="21"/>
      <c r="Q52" s="88"/>
      <c r="S52" s="21"/>
      <c r="U52" s="21"/>
      <c r="V52" s="279"/>
    </row>
    <row r="53" spans="1:23" x14ac:dyDescent="0.2">
      <c r="A53" s="36" t="s">
        <v>47</v>
      </c>
      <c r="B53" s="76" t="s">
        <v>84</v>
      </c>
      <c r="C53" s="21"/>
      <c r="D53" s="179" t="s">
        <v>86</v>
      </c>
      <c r="E53" s="21"/>
      <c r="F53" s="76" t="s">
        <v>84</v>
      </c>
      <c r="G53" s="21"/>
      <c r="H53" s="76" t="s">
        <v>108</v>
      </c>
      <c r="I53" s="21"/>
      <c r="J53" s="76"/>
      <c r="K53" s="21"/>
      <c r="L53" s="76" t="s">
        <v>106</v>
      </c>
      <c r="M53" s="21"/>
      <c r="N53" s="76" t="s">
        <v>87</v>
      </c>
      <c r="O53" s="21"/>
      <c r="P53" s="76"/>
      <c r="Q53" s="88"/>
      <c r="R53" s="76"/>
      <c r="S53" s="21"/>
      <c r="T53" s="76"/>
      <c r="U53" s="21"/>
      <c r="V53" s="313"/>
    </row>
    <row r="54" spans="1:23" x14ac:dyDescent="0.2">
      <c r="A54" s="24" t="s">
        <v>266</v>
      </c>
      <c r="B54" s="4">
        <v>21.33</v>
      </c>
      <c r="C54" s="21">
        <v>125</v>
      </c>
      <c r="D54" s="177">
        <v>14.57</v>
      </c>
      <c r="E54" s="21">
        <v>13</v>
      </c>
      <c r="F54" s="4">
        <v>20.34</v>
      </c>
      <c r="G54" s="21">
        <v>16</v>
      </c>
      <c r="H54" s="4">
        <v>28.29</v>
      </c>
      <c r="I54" s="21">
        <v>9</v>
      </c>
      <c r="J54" s="4">
        <v>20.49</v>
      </c>
      <c r="K54" s="21">
        <v>87</v>
      </c>
      <c r="M54" s="21"/>
      <c r="O54" s="21"/>
      <c r="P54" s="4">
        <v>34.36</v>
      </c>
      <c r="Q54" s="88">
        <v>9.8000000000000007</v>
      </c>
      <c r="S54" s="21"/>
      <c r="U54" s="21"/>
      <c r="V54" s="279">
        <f>COUNT(B54:U54)/2</f>
        <v>6</v>
      </c>
    </row>
    <row r="55" spans="1:23" x14ac:dyDescent="0.2">
      <c r="A55" s="187" t="s">
        <v>942</v>
      </c>
      <c r="B55" s="4"/>
      <c r="C55" s="21"/>
      <c r="D55" s="177"/>
      <c r="E55" s="21"/>
      <c r="G55" s="21"/>
      <c r="H55" s="4"/>
      <c r="I55" s="21"/>
      <c r="J55" s="4">
        <v>22.38</v>
      </c>
      <c r="K55" s="21">
        <v>196</v>
      </c>
      <c r="M55" s="21"/>
      <c r="O55" s="21"/>
      <c r="P55" s="4">
        <v>33.26</v>
      </c>
      <c r="Q55" s="88">
        <v>7.9</v>
      </c>
      <c r="S55" s="21"/>
      <c r="U55" s="21"/>
      <c r="V55" s="279">
        <f>COUNT(B55:U55)/2</f>
        <v>2</v>
      </c>
    </row>
    <row r="56" spans="1:23" x14ac:dyDescent="0.2">
      <c r="A56" s="26" t="s">
        <v>8</v>
      </c>
      <c r="B56" s="81"/>
      <c r="C56" s="82">
        <v>539</v>
      </c>
      <c r="D56" s="178"/>
      <c r="E56" s="82">
        <v>29</v>
      </c>
      <c r="F56" s="81"/>
      <c r="G56" s="82">
        <v>26</v>
      </c>
      <c r="H56" s="23"/>
      <c r="I56" s="82">
        <v>22</v>
      </c>
      <c r="J56" s="81"/>
      <c r="K56" s="82">
        <v>527</v>
      </c>
      <c r="L56" s="23"/>
      <c r="M56" s="82"/>
      <c r="N56" s="23"/>
      <c r="O56" s="82"/>
      <c r="P56" s="23"/>
      <c r="Q56" s="89"/>
      <c r="R56" s="23"/>
      <c r="S56" s="82"/>
      <c r="T56" s="23"/>
      <c r="U56" s="82"/>
      <c r="V56" s="312"/>
    </row>
    <row r="57" spans="1:23" x14ac:dyDescent="0.2">
      <c r="A57" s="24"/>
      <c r="B57" s="4"/>
      <c r="C57" s="21"/>
      <c r="D57" s="177"/>
      <c r="E57" s="21"/>
      <c r="G57" s="21"/>
      <c r="H57" s="4"/>
      <c r="I57" s="21"/>
      <c r="K57" s="21"/>
      <c r="M57" s="21"/>
      <c r="O57" s="21"/>
      <c r="Q57" s="88"/>
      <c r="S57" s="21"/>
      <c r="U57" s="21"/>
      <c r="V57" s="279"/>
    </row>
    <row r="58" spans="1:23" x14ac:dyDescent="0.2">
      <c r="A58" s="36" t="s">
        <v>48</v>
      </c>
      <c r="B58" s="76" t="s">
        <v>85</v>
      </c>
      <c r="C58" s="21"/>
      <c r="D58" s="179" t="s">
        <v>86</v>
      </c>
      <c r="E58" s="21"/>
      <c r="F58" s="76" t="s">
        <v>108</v>
      </c>
      <c r="G58" s="21"/>
      <c r="H58" s="76" t="s">
        <v>84</v>
      </c>
      <c r="I58" s="21"/>
      <c r="J58" s="76" t="s">
        <v>116</v>
      </c>
      <c r="K58" s="21"/>
      <c r="L58" s="76" t="s">
        <v>106</v>
      </c>
      <c r="M58" s="21"/>
      <c r="N58" s="76" t="s">
        <v>87</v>
      </c>
      <c r="O58" s="21"/>
      <c r="P58" s="76"/>
      <c r="Q58" s="88"/>
      <c r="R58" s="76"/>
      <c r="S58" s="21"/>
      <c r="T58" s="76"/>
      <c r="U58" s="21"/>
      <c r="V58" s="313"/>
    </row>
    <row r="59" spans="1:23" x14ac:dyDescent="0.2">
      <c r="A59" s="187" t="s">
        <v>290</v>
      </c>
      <c r="B59" s="4">
        <v>12.17</v>
      </c>
      <c r="C59" s="21">
        <v>41</v>
      </c>
      <c r="D59" s="177">
        <v>18.23</v>
      </c>
      <c r="E59" s="21">
        <v>40</v>
      </c>
      <c r="F59" s="4">
        <v>34.46</v>
      </c>
      <c r="G59" s="21">
        <v>31</v>
      </c>
      <c r="H59" s="4"/>
      <c r="I59" s="21"/>
      <c r="J59" s="156"/>
      <c r="K59" s="21"/>
      <c r="L59" s="4">
        <v>44.18</v>
      </c>
      <c r="M59" s="21">
        <v>28</v>
      </c>
      <c r="N59" s="4">
        <v>24.52</v>
      </c>
      <c r="O59" s="21">
        <v>28</v>
      </c>
      <c r="P59" s="4">
        <v>42.22</v>
      </c>
      <c r="Q59" s="88">
        <v>8.8000000000000007</v>
      </c>
      <c r="R59" s="4">
        <v>20</v>
      </c>
      <c r="S59" s="21">
        <v>22</v>
      </c>
      <c r="U59" s="21"/>
      <c r="V59" s="279">
        <f>COUNT(B59:U59)/2</f>
        <v>7</v>
      </c>
    </row>
    <row r="60" spans="1:23" x14ac:dyDescent="0.2">
      <c r="A60" s="187" t="s">
        <v>866</v>
      </c>
      <c r="B60" s="4">
        <v>11.1</v>
      </c>
      <c r="C60" s="21">
        <v>28</v>
      </c>
      <c r="D60" s="177"/>
      <c r="E60" s="21"/>
      <c r="G60" s="21"/>
      <c r="H60" s="4"/>
      <c r="I60" s="21"/>
      <c r="K60" s="21"/>
      <c r="M60" s="21"/>
      <c r="O60" s="21"/>
      <c r="Q60" s="88"/>
      <c r="S60" s="21"/>
      <c r="U60" s="21"/>
      <c r="V60" s="279">
        <f>COUNT(B60:U60)/2</f>
        <v>1</v>
      </c>
    </row>
    <row r="61" spans="1:23" x14ac:dyDescent="0.2">
      <c r="A61" s="26" t="s">
        <v>8</v>
      </c>
      <c r="B61" s="81"/>
      <c r="C61" s="82">
        <v>45</v>
      </c>
      <c r="D61" s="178"/>
      <c r="E61" s="82">
        <v>42</v>
      </c>
      <c r="F61" s="81"/>
      <c r="G61" s="82">
        <v>38</v>
      </c>
      <c r="H61" s="23"/>
      <c r="I61" s="82"/>
      <c r="J61" s="81"/>
      <c r="K61" s="82"/>
      <c r="L61" s="23"/>
      <c r="M61" s="82">
        <v>31</v>
      </c>
      <c r="N61" s="23"/>
      <c r="O61" s="82">
        <v>30</v>
      </c>
      <c r="P61" s="23"/>
      <c r="Q61" s="89"/>
      <c r="R61" s="23"/>
      <c r="S61" s="82">
        <v>25</v>
      </c>
      <c r="T61" s="23"/>
      <c r="U61" s="82"/>
      <c r="V61" s="312"/>
    </row>
    <row r="62" spans="1:23" x14ac:dyDescent="0.2">
      <c r="A62" s="24"/>
      <c r="B62" s="4"/>
      <c r="C62" s="21"/>
      <c r="D62" s="177"/>
      <c r="E62" s="21"/>
      <c r="G62" s="21"/>
      <c r="H62" s="4"/>
      <c r="I62" s="21"/>
      <c r="K62" s="21"/>
      <c r="M62" s="21"/>
      <c r="O62" s="21"/>
      <c r="Q62" s="88"/>
      <c r="S62" s="21"/>
      <c r="U62" s="21"/>
      <c r="V62" s="279"/>
    </row>
    <row r="63" spans="1:23" x14ac:dyDescent="0.2">
      <c r="A63" s="36" t="s">
        <v>49</v>
      </c>
      <c r="B63" s="76" t="s">
        <v>85</v>
      </c>
      <c r="C63" s="21"/>
      <c r="D63" s="179" t="s">
        <v>85</v>
      </c>
      <c r="E63" s="21"/>
      <c r="F63" s="76" t="s">
        <v>84</v>
      </c>
      <c r="G63" s="21"/>
      <c r="H63" s="76" t="s">
        <v>86</v>
      </c>
      <c r="I63" s="21"/>
      <c r="J63" s="76" t="s">
        <v>116</v>
      </c>
      <c r="K63" s="21"/>
      <c r="L63" s="76" t="s">
        <v>85</v>
      </c>
      <c r="M63" s="21"/>
      <c r="N63" s="76" t="s">
        <v>87</v>
      </c>
      <c r="O63" s="21"/>
      <c r="P63" s="76"/>
      <c r="Q63" s="88"/>
      <c r="R63" s="76"/>
      <c r="S63" s="21"/>
      <c r="T63" s="76"/>
      <c r="U63" s="21"/>
      <c r="V63" s="313"/>
    </row>
    <row r="64" spans="1:23" x14ac:dyDescent="0.2">
      <c r="A64" s="187" t="s">
        <v>366</v>
      </c>
      <c r="B64" s="4">
        <v>11.38</v>
      </c>
      <c r="C64" s="21">
        <v>25</v>
      </c>
      <c r="D64" s="333" t="s">
        <v>365</v>
      </c>
      <c r="E64" s="21"/>
      <c r="G64" s="21"/>
      <c r="H64" s="4"/>
      <c r="I64" s="21"/>
      <c r="K64" s="21"/>
      <c r="L64" s="4">
        <v>10.42</v>
      </c>
      <c r="M64" s="21">
        <v>16</v>
      </c>
      <c r="O64" s="21"/>
      <c r="Q64" s="88"/>
      <c r="S64" s="21"/>
      <c r="U64" s="21"/>
      <c r="V64" s="279">
        <f>COUNT(B64:U64)/2</f>
        <v>2</v>
      </c>
    </row>
    <row r="65" spans="1:34" hidden="1" x14ac:dyDescent="0.2">
      <c r="A65" s="187"/>
      <c r="B65" s="4"/>
      <c r="C65" s="21"/>
      <c r="D65" s="177"/>
      <c r="E65" s="21"/>
      <c r="G65" s="21"/>
      <c r="H65" s="4"/>
      <c r="I65" s="21"/>
      <c r="J65" s="156"/>
      <c r="K65" s="21"/>
      <c r="M65" s="21"/>
      <c r="O65" s="21"/>
      <c r="Q65" s="88"/>
      <c r="S65" s="21"/>
      <c r="U65" s="21"/>
      <c r="V65" s="279">
        <f>COUNT(B65:U65)/2</f>
        <v>0</v>
      </c>
    </row>
    <row r="66" spans="1:34" x14ac:dyDescent="0.2">
      <c r="A66" s="26" t="s">
        <v>8</v>
      </c>
      <c r="B66" s="81"/>
      <c r="C66" s="82">
        <v>42</v>
      </c>
      <c r="D66" s="178"/>
      <c r="E66" s="82"/>
      <c r="F66" s="81"/>
      <c r="G66" s="82"/>
      <c r="H66" s="23"/>
      <c r="I66" s="82"/>
      <c r="J66" s="81"/>
      <c r="K66" s="82"/>
      <c r="L66" s="23"/>
      <c r="M66" s="82">
        <v>25</v>
      </c>
      <c r="N66" s="23"/>
      <c r="O66" s="82"/>
      <c r="P66" s="23"/>
      <c r="Q66" s="89"/>
      <c r="R66" s="23"/>
      <c r="S66" s="82"/>
      <c r="T66" s="23"/>
      <c r="U66" s="82"/>
      <c r="V66" s="312"/>
    </row>
    <row r="67" spans="1:34" x14ac:dyDescent="0.2">
      <c r="A67" s="24"/>
      <c r="B67" s="4"/>
      <c r="C67" s="21"/>
      <c r="D67" s="177"/>
      <c r="E67" s="21"/>
      <c r="G67" s="21"/>
      <c r="H67" s="4"/>
      <c r="I67" s="21"/>
      <c r="K67" s="21"/>
      <c r="M67" s="21"/>
      <c r="O67" s="21"/>
      <c r="Q67" s="88"/>
      <c r="S67" s="21"/>
      <c r="U67" s="21"/>
      <c r="V67" s="279"/>
    </row>
    <row r="68" spans="1:34" x14ac:dyDescent="0.2">
      <c r="A68" s="36" t="s">
        <v>50</v>
      </c>
      <c r="B68" s="76" t="s">
        <v>85</v>
      </c>
      <c r="C68" s="21"/>
      <c r="D68" s="179" t="s">
        <v>88</v>
      </c>
      <c r="E68" s="21"/>
      <c r="F68" s="76" t="s">
        <v>86</v>
      </c>
      <c r="G68" s="21"/>
      <c r="H68" s="76" t="s">
        <v>85</v>
      </c>
      <c r="I68" s="21"/>
      <c r="J68" s="76" t="s">
        <v>116</v>
      </c>
      <c r="K68" s="21"/>
      <c r="L68" s="76" t="s">
        <v>85</v>
      </c>
      <c r="M68" s="21"/>
      <c r="N68" s="76" t="s">
        <v>87</v>
      </c>
      <c r="O68" s="21"/>
      <c r="P68" s="76"/>
      <c r="Q68" s="88"/>
      <c r="R68" s="76"/>
      <c r="S68" s="21"/>
      <c r="T68" s="76"/>
      <c r="U68" s="21"/>
      <c r="V68" s="313"/>
    </row>
    <row r="69" spans="1:34" x14ac:dyDescent="0.2">
      <c r="A69" s="187" t="s">
        <v>649</v>
      </c>
      <c r="B69" s="4">
        <v>15.23</v>
      </c>
      <c r="C69" s="21">
        <v>30</v>
      </c>
      <c r="D69" s="177">
        <v>10</v>
      </c>
      <c r="E69" s="21">
        <v>27</v>
      </c>
      <c r="F69" s="76"/>
      <c r="G69" s="21"/>
      <c r="H69" s="4"/>
      <c r="I69" s="21"/>
      <c r="K69" s="21"/>
      <c r="M69" s="21"/>
      <c r="N69" s="76"/>
      <c r="O69" s="21"/>
      <c r="P69" s="76"/>
      <c r="Q69" s="88"/>
      <c r="R69" s="76"/>
      <c r="S69" s="21"/>
      <c r="U69" s="21"/>
      <c r="V69" s="279">
        <f>COUNT(B69:U69)/2</f>
        <v>2</v>
      </c>
    </row>
    <row r="70" spans="1:34" x14ac:dyDescent="0.2">
      <c r="A70" s="77" t="s">
        <v>8</v>
      </c>
      <c r="B70" s="78"/>
      <c r="C70" s="79">
        <v>31</v>
      </c>
      <c r="D70" s="180"/>
      <c r="E70" s="79">
        <v>27</v>
      </c>
      <c r="F70" s="78"/>
      <c r="G70" s="79"/>
      <c r="H70" s="33"/>
      <c r="I70" s="79"/>
      <c r="J70" s="78"/>
      <c r="K70" s="79"/>
      <c r="L70" s="33"/>
      <c r="M70" s="79"/>
      <c r="N70" s="33"/>
      <c r="O70" s="79"/>
      <c r="P70" s="33"/>
      <c r="Q70" s="90"/>
      <c r="R70" s="33"/>
      <c r="S70" s="79"/>
      <c r="T70" s="33"/>
      <c r="U70" s="79"/>
      <c r="V70" s="314"/>
    </row>
    <row r="71" spans="1:34" x14ac:dyDescent="0.2">
      <c r="A71" s="6"/>
      <c r="B71" s="4"/>
      <c r="C71" s="5"/>
      <c r="D71" s="177"/>
      <c r="H71" s="4"/>
      <c r="Q71" s="91"/>
      <c r="V71" s="315"/>
    </row>
    <row r="72" spans="1:34" ht="16.5" customHeight="1" x14ac:dyDescent="0.35">
      <c r="A72" s="31"/>
      <c r="D72" s="177"/>
      <c r="F72" s="5"/>
      <c r="H72" s="4"/>
      <c r="J72" s="2"/>
      <c r="Q72" s="91"/>
      <c r="V72" s="315"/>
    </row>
    <row r="73" spans="1:34" s="17" customFormat="1" ht="25.5" x14ac:dyDescent="0.2">
      <c r="A73" s="9"/>
      <c r="B73" s="10" t="str">
        <f>B3</f>
        <v>Jells Park</v>
      </c>
      <c r="C73" s="11"/>
      <c r="D73" s="181" t="str">
        <f>D3</f>
        <v>Wandin Park</v>
      </c>
      <c r="E73" s="11"/>
      <c r="F73" s="10" t="str">
        <f>F3</f>
        <v>Cruden Farm</v>
      </c>
      <c r="G73" s="11"/>
      <c r="H73" s="10" t="str">
        <f>H3</f>
        <v>Bundoora</v>
      </c>
      <c r="I73" s="11"/>
      <c r="J73" s="10" t="str">
        <f>J3</f>
        <v>Sandown</v>
      </c>
      <c r="K73" s="11"/>
      <c r="L73" s="93" t="str">
        <f>L3</f>
        <v>Albert Park</v>
      </c>
      <c r="M73" s="11"/>
      <c r="N73" s="10" t="str">
        <f>N3</f>
        <v>Ballarat</v>
      </c>
      <c r="O73" s="11"/>
      <c r="P73" s="10" t="str">
        <f>P3</f>
        <v>Anglesea</v>
      </c>
      <c r="Q73" s="92"/>
      <c r="R73" s="10" t="str">
        <f>R3</f>
        <v>Burnley</v>
      </c>
      <c r="S73" s="11"/>
      <c r="T73" s="10" t="str">
        <f>T3</f>
        <v>Princes Park</v>
      </c>
      <c r="U73" s="11"/>
      <c r="V73" s="316" t="s">
        <v>43</v>
      </c>
      <c r="W73" s="16"/>
      <c r="X73" s="310"/>
      <c r="Y73" s="7"/>
      <c r="Z73" s="7"/>
      <c r="AA73" s="7"/>
      <c r="AB73" s="7"/>
      <c r="AC73" s="7"/>
      <c r="AD73" s="7"/>
      <c r="AE73" s="7"/>
      <c r="AF73" s="7"/>
      <c r="AH73" s="7"/>
    </row>
    <row r="74" spans="1:34" s="3" customFormat="1" x14ac:dyDescent="0.2">
      <c r="A74" s="18"/>
      <c r="B74" s="19">
        <f>B4</f>
        <v>42847</v>
      </c>
      <c r="C74" s="20"/>
      <c r="D74" s="182">
        <f>D4</f>
        <v>42868</v>
      </c>
      <c r="E74" s="20"/>
      <c r="F74" s="19">
        <f>F4</f>
        <v>42882</v>
      </c>
      <c r="G74" s="20"/>
      <c r="H74" s="19">
        <f>H4</f>
        <v>42903</v>
      </c>
      <c r="I74" s="20"/>
      <c r="J74" s="19">
        <f>J4</f>
        <v>42924</v>
      </c>
      <c r="K74" s="20"/>
      <c r="L74" s="19">
        <f>L4</f>
        <v>42932</v>
      </c>
      <c r="M74" s="20"/>
      <c r="N74" s="19">
        <f>N4</f>
        <v>42945</v>
      </c>
      <c r="O74" s="20"/>
      <c r="P74" s="19">
        <f>P4</f>
        <v>42959</v>
      </c>
      <c r="Q74" s="88"/>
      <c r="R74" s="19">
        <f>R4</f>
        <v>42988</v>
      </c>
      <c r="S74" s="21"/>
      <c r="T74" s="19">
        <f>T4</f>
        <v>42994</v>
      </c>
      <c r="U74" s="21"/>
      <c r="V74" s="313"/>
      <c r="W74" s="5"/>
      <c r="X74" s="310"/>
      <c r="Y74" s="7"/>
      <c r="Z74" s="7"/>
      <c r="AA74" s="7"/>
      <c r="AB74" s="7"/>
      <c r="AC74" s="7"/>
      <c r="AD74" s="7"/>
      <c r="AE74" s="7"/>
      <c r="AF74" s="7"/>
      <c r="AH74" s="7"/>
    </row>
    <row r="75" spans="1:34" s="3" customFormat="1" x14ac:dyDescent="0.2">
      <c r="A75" s="32"/>
      <c r="B75" s="33" t="s">
        <v>0</v>
      </c>
      <c r="C75" s="34" t="s">
        <v>1</v>
      </c>
      <c r="D75" s="180" t="s">
        <v>0</v>
      </c>
      <c r="E75" s="34" t="s">
        <v>1</v>
      </c>
      <c r="F75" s="33" t="s">
        <v>0</v>
      </c>
      <c r="G75" s="34" t="s">
        <v>1</v>
      </c>
      <c r="H75" s="33" t="s">
        <v>0</v>
      </c>
      <c r="I75" s="34" t="s">
        <v>1</v>
      </c>
      <c r="J75" s="33" t="s">
        <v>0</v>
      </c>
      <c r="K75" s="34" t="s">
        <v>1</v>
      </c>
      <c r="L75" s="33" t="s">
        <v>0</v>
      </c>
      <c r="M75" s="34" t="s">
        <v>1</v>
      </c>
      <c r="N75" s="33" t="s">
        <v>0</v>
      </c>
      <c r="O75" s="34" t="s">
        <v>1</v>
      </c>
      <c r="P75" s="33" t="s">
        <v>0</v>
      </c>
      <c r="Q75" s="90" t="s">
        <v>2</v>
      </c>
      <c r="R75" s="33" t="s">
        <v>0</v>
      </c>
      <c r="S75" s="34" t="s">
        <v>1</v>
      </c>
      <c r="T75" s="33" t="s">
        <v>0</v>
      </c>
      <c r="U75" s="34" t="s">
        <v>1</v>
      </c>
      <c r="V75" s="317"/>
      <c r="W75" s="5"/>
      <c r="X75" s="310"/>
      <c r="Y75" s="7"/>
      <c r="Z75" s="7"/>
      <c r="AA75" s="7"/>
      <c r="AB75" s="7"/>
      <c r="AC75" s="7"/>
      <c r="AD75" s="7"/>
      <c r="AE75" s="7"/>
      <c r="AF75" s="7"/>
      <c r="AH75" s="7"/>
    </row>
    <row r="76" spans="1:34" x14ac:dyDescent="0.2">
      <c r="A76" s="36" t="s">
        <v>54</v>
      </c>
      <c r="B76" s="76" t="s">
        <v>89</v>
      </c>
      <c r="C76" s="21"/>
      <c r="D76" s="179" t="s">
        <v>51</v>
      </c>
      <c r="E76" s="21"/>
      <c r="F76" s="76" t="s">
        <v>35</v>
      </c>
      <c r="G76" s="21"/>
      <c r="H76" s="76" t="s">
        <v>566</v>
      </c>
      <c r="I76" s="21"/>
      <c r="J76" s="76" t="s">
        <v>115</v>
      </c>
      <c r="K76" s="21"/>
      <c r="L76" s="76" t="s">
        <v>31</v>
      </c>
      <c r="M76" s="21"/>
      <c r="N76" s="76" t="s">
        <v>30</v>
      </c>
      <c r="O76" s="21"/>
      <c r="P76" s="76" t="s">
        <v>33</v>
      </c>
      <c r="Q76" s="88"/>
      <c r="R76" s="76" t="s">
        <v>36</v>
      </c>
      <c r="S76" s="21"/>
      <c r="T76" s="76" t="s">
        <v>37</v>
      </c>
      <c r="U76" s="37"/>
      <c r="V76" s="313"/>
    </row>
    <row r="77" spans="1:34" s="39" customFormat="1" x14ac:dyDescent="0.2">
      <c r="A77" s="24" t="s">
        <v>101</v>
      </c>
      <c r="B77" s="4"/>
      <c r="C77" s="21"/>
      <c r="D77" s="177"/>
      <c r="E77" s="38"/>
      <c r="F77" s="4"/>
      <c r="G77" s="21"/>
      <c r="H77" s="4"/>
      <c r="I77" s="21"/>
      <c r="J77" s="4">
        <v>24.56</v>
      </c>
      <c r="K77" s="21">
        <v>72</v>
      </c>
      <c r="L77" s="4"/>
      <c r="M77" s="21"/>
      <c r="N77" s="4">
        <v>62.56</v>
      </c>
      <c r="O77" s="21">
        <v>31</v>
      </c>
      <c r="P77" s="4"/>
      <c r="Q77" s="88"/>
      <c r="R77" s="4">
        <v>87.28</v>
      </c>
      <c r="S77" s="21">
        <v>20</v>
      </c>
      <c r="T77" s="4"/>
      <c r="U77" s="21"/>
      <c r="V77" s="279">
        <f t="shared" ref="V77:V92" si="1">COUNT(B77:U77)/2</f>
        <v>3</v>
      </c>
      <c r="W77" s="6"/>
      <c r="X77" s="310"/>
      <c r="Y77" s="7"/>
      <c r="Z77" s="7"/>
      <c r="AA77" s="7"/>
      <c r="AB77" s="7"/>
      <c r="AC77" s="7"/>
      <c r="AD77" s="7"/>
      <c r="AE77" s="7"/>
      <c r="AF77" s="7"/>
    </row>
    <row r="78" spans="1:34" s="39" customFormat="1" x14ac:dyDescent="0.2">
      <c r="A78" s="187" t="s">
        <v>356</v>
      </c>
      <c r="B78" s="4">
        <v>24.44</v>
      </c>
      <c r="C78" s="21">
        <v>65</v>
      </c>
      <c r="D78" s="177">
        <v>26.2</v>
      </c>
      <c r="E78" s="87">
        <v>48</v>
      </c>
      <c r="F78" s="4">
        <v>33.08</v>
      </c>
      <c r="G78" s="21">
        <v>43</v>
      </c>
      <c r="H78" s="4">
        <v>42.54</v>
      </c>
      <c r="I78" s="21">
        <v>46</v>
      </c>
      <c r="J78" s="4">
        <v>24.3</v>
      </c>
      <c r="K78" s="87">
        <v>57</v>
      </c>
      <c r="L78" s="4">
        <v>39.450000000000003</v>
      </c>
      <c r="M78" s="21">
        <v>38</v>
      </c>
      <c r="N78" s="4">
        <v>62.1</v>
      </c>
      <c r="O78" s="21">
        <v>25</v>
      </c>
      <c r="P78" s="4">
        <v>39.380000000000003</v>
      </c>
      <c r="Q78" s="88">
        <v>8.8000000000000007</v>
      </c>
      <c r="R78" s="4">
        <v>89.33</v>
      </c>
      <c r="S78" s="21">
        <v>27</v>
      </c>
      <c r="T78" s="4"/>
      <c r="U78" s="21"/>
      <c r="V78" s="279">
        <f t="shared" si="1"/>
        <v>9</v>
      </c>
      <c r="W78" s="6"/>
      <c r="X78" s="310"/>
      <c r="Y78" s="7"/>
      <c r="Z78" s="7"/>
      <c r="AA78" s="7"/>
      <c r="AB78" s="7"/>
      <c r="AC78" s="7"/>
      <c r="AD78" s="7"/>
      <c r="AE78" s="7"/>
      <c r="AF78" s="7"/>
    </row>
    <row r="79" spans="1:34" x14ac:dyDescent="0.2">
      <c r="A79" s="24" t="s">
        <v>358</v>
      </c>
      <c r="B79" s="4">
        <v>26.19</v>
      </c>
      <c r="C79" s="21">
        <v>106</v>
      </c>
      <c r="D79" s="177">
        <v>29.28</v>
      </c>
      <c r="E79" s="21">
        <v>115</v>
      </c>
      <c r="F79" s="4">
        <v>37.58</v>
      </c>
      <c r="G79" s="21">
        <v>127</v>
      </c>
      <c r="H79" s="4"/>
      <c r="I79" s="21"/>
      <c r="J79" s="4">
        <v>27.37</v>
      </c>
      <c r="K79" s="21">
        <v>150</v>
      </c>
      <c r="L79" s="4">
        <v>46.37</v>
      </c>
      <c r="M79" s="21">
        <v>135</v>
      </c>
      <c r="O79" s="21"/>
      <c r="P79" s="4">
        <v>50.5</v>
      </c>
      <c r="Q79" s="88">
        <v>9.8000000000000007</v>
      </c>
      <c r="S79" s="21"/>
      <c r="U79" s="21"/>
      <c r="V79" s="25">
        <f>COUNT(B79:U79)/2</f>
        <v>6</v>
      </c>
    </row>
    <row r="80" spans="1:34" s="39" customFormat="1" x14ac:dyDescent="0.2">
      <c r="A80" s="187" t="s">
        <v>195</v>
      </c>
      <c r="B80" s="4">
        <v>27.09</v>
      </c>
      <c r="C80" s="21">
        <v>136</v>
      </c>
      <c r="D80" s="4"/>
      <c r="E80" s="87"/>
      <c r="F80" s="4">
        <v>35.43</v>
      </c>
      <c r="G80" s="21">
        <v>91</v>
      </c>
      <c r="H80" s="4">
        <v>46.14</v>
      </c>
      <c r="I80" s="21">
        <v>90</v>
      </c>
      <c r="J80" s="4">
        <v>25.47</v>
      </c>
      <c r="K80" s="87">
        <v>99</v>
      </c>
      <c r="L80" s="4">
        <v>42.02</v>
      </c>
      <c r="M80" s="21">
        <v>73</v>
      </c>
      <c r="N80" s="4">
        <v>65.14</v>
      </c>
      <c r="O80" s="21">
        <v>53</v>
      </c>
      <c r="P80" s="4">
        <v>27.5</v>
      </c>
      <c r="Q80" s="88">
        <v>6</v>
      </c>
      <c r="R80" s="4">
        <v>92.53</v>
      </c>
      <c r="S80" s="21">
        <v>45</v>
      </c>
      <c r="T80" s="4"/>
      <c r="U80" s="21"/>
      <c r="V80" s="279">
        <f>COUNT(B80:U80)/2</f>
        <v>8</v>
      </c>
      <c r="W80" s="6"/>
      <c r="X80" s="310"/>
      <c r="Y80" s="7"/>
      <c r="Z80" s="7"/>
      <c r="AA80" s="7"/>
      <c r="AB80" s="7"/>
      <c r="AC80" s="7"/>
      <c r="AD80" s="7"/>
      <c r="AE80" s="7"/>
      <c r="AF80" s="7"/>
    </row>
    <row r="81" spans="1:33" s="39" customFormat="1" x14ac:dyDescent="0.2">
      <c r="A81" s="40" t="s">
        <v>261</v>
      </c>
      <c r="B81" s="4">
        <v>28.23</v>
      </c>
      <c r="C81" s="21">
        <v>160</v>
      </c>
      <c r="D81" s="177">
        <v>31.08</v>
      </c>
      <c r="E81" s="87">
        <v>140</v>
      </c>
      <c r="F81" s="4"/>
      <c r="G81" s="21"/>
      <c r="H81" s="4"/>
      <c r="I81" s="21"/>
      <c r="J81" s="4"/>
      <c r="K81" s="87"/>
      <c r="L81" s="4"/>
      <c r="M81" s="21"/>
      <c r="N81" s="4"/>
      <c r="O81" s="21"/>
      <c r="P81" s="4"/>
      <c r="Q81" s="88"/>
      <c r="R81" s="4"/>
      <c r="S81" s="21"/>
      <c r="T81" s="4"/>
      <c r="U81" s="21"/>
      <c r="V81" s="279">
        <f t="shared" si="1"/>
        <v>2</v>
      </c>
      <c r="W81" s="6"/>
      <c r="X81" s="310"/>
      <c r="Y81" s="7"/>
      <c r="Z81" s="7"/>
      <c r="AA81" s="7"/>
      <c r="AB81" s="7"/>
      <c r="AC81" s="7"/>
      <c r="AD81" s="7"/>
      <c r="AE81" s="7"/>
      <c r="AF81" s="7"/>
    </row>
    <row r="82" spans="1:33" s="39" customFormat="1" x14ac:dyDescent="0.2">
      <c r="A82" s="187" t="s">
        <v>118</v>
      </c>
      <c r="B82" s="4">
        <v>29.09</v>
      </c>
      <c r="C82" s="21">
        <v>177</v>
      </c>
      <c r="D82" s="177">
        <v>30.42</v>
      </c>
      <c r="E82" s="87">
        <v>133</v>
      </c>
      <c r="F82" s="4">
        <v>38.32</v>
      </c>
      <c r="G82" s="21">
        <v>136</v>
      </c>
      <c r="H82" s="4">
        <v>49.33</v>
      </c>
      <c r="I82" s="21">
        <v>124</v>
      </c>
      <c r="J82" s="4">
        <v>29.07</v>
      </c>
      <c r="K82" s="87">
        <v>182</v>
      </c>
      <c r="L82" s="4">
        <v>47.31</v>
      </c>
      <c r="M82" s="21">
        <v>142</v>
      </c>
      <c r="N82" s="4">
        <v>72.069999999999993</v>
      </c>
      <c r="O82" s="21">
        <v>94</v>
      </c>
      <c r="P82" s="4">
        <v>26.13</v>
      </c>
      <c r="Q82" s="88">
        <v>5.2</v>
      </c>
      <c r="R82" s="4">
        <v>104.54</v>
      </c>
      <c r="S82" s="21">
        <v>101</v>
      </c>
      <c r="T82" s="4"/>
      <c r="U82" s="21"/>
      <c r="V82" s="279">
        <f t="shared" si="1"/>
        <v>9</v>
      </c>
      <c r="W82" s="6"/>
      <c r="X82" s="310"/>
      <c r="Y82" s="7"/>
      <c r="Z82" s="7"/>
      <c r="AA82" s="7"/>
      <c r="AB82" s="7"/>
      <c r="AC82" s="7"/>
      <c r="AD82" s="7"/>
      <c r="AE82" s="7"/>
      <c r="AF82" s="7"/>
    </row>
    <row r="83" spans="1:33" hidden="1" x14ac:dyDescent="0.2">
      <c r="A83" s="24" t="s">
        <v>187</v>
      </c>
      <c r="B83" s="4"/>
      <c r="C83" s="21"/>
      <c r="D83" s="4"/>
      <c r="E83" s="87"/>
      <c r="G83" s="21"/>
      <c r="H83" s="4"/>
      <c r="I83" s="21"/>
      <c r="K83" s="87"/>
      <c r="M83" s="21"/>
      <c r="O83" s="21"/>
      <c r="Q83" s="88"/>
      <c r="S83" s="21"/>
      <c r="U83" s="21"/>
      <c r="V83" s="25">
        <f t="shared" si="1"/>
        <v>0</v>
      </c>
      <c r="AG83" s="39"/>
    </row>
    <row r="84" spans="1:33" s="39" customFormat="1" x14ac:dyDescent="0.2">
      <c r="A84" s="187" t="s">
        <v>957</v>
      </c>
      <c r="B84" s="4">
        <v>31.4</v>
      </c>
      <c r="C84" s="21">
        <v>213</v>
      </c>
      <c r="D84" s="4">
        <v>33.24</v>
      </c>
      <c r="E84" s="87">
        <v>172</v>
      </c>
      <c r="F84" s="4">
        <v>40.03</v>
      </c>
      <c r="G84" s="21">
        <v>151</v>
      </c>
      <c r="H84" s="4">
        <v>52.03</v>
      </c>
      <c r="I84" s="21">
        <v>140</v>
      </c>
      <c r="J84" s="4"/>
      <c r="K84" s="87"/>
      <c r="L84" s="4"/>
      <c r="M84" s="21"/>
      <c r="N84" s="4">
        <v>74.459999999999994</v>
      </c>
      <c r="O84" s="21">
        <v>103</v>
      </c>
      <c r="P84" s="4">
        <v>43.47</v>
      </c>
      <c r="Q84" s="88">
        <v>7.9</v>
      </c>
      <c r="R84" s="4">
        <v>103.29</v>
      </c>
      <c r="S84" s="21">
        <v>90</v>
      </c>
      <c r="T84" s="4"/>
      <c r="U84" s="21"/>
      <c r="V84" s="25">
        <f>COUNT(B84:U84)/2</f>
        <v>7</v>
      </c>
      <c r="W84" s="6"/>
      <c r="X84" s="310"/>
      <c r="Y84" s="7"/>
      <c r="Z84" s="7"/>
      <c r="AA84" s="7"/>
      <c r="AB84" s="7"/>
      <c r="AC84" s="7"/>
      <c r="AD84" s="7"/>
      <c r="AE84" s="7"/>
      <c r="AF84" s="7"/>
    </row>
    <row r="85" spans="1:33" x14ac:dyDescent="0.2">
      <c r="A85" s="24" t="s">
        <v>343</v>
      </c>
      <c r="B85" s="4">
        <v>32.43</v>
      </c>
      <c r="C85" s="21">
        <v>224</v>
      </c>
      <c r="D85" s="4">
        <v>35.14</v>
      </c>
      <c r="E85" s="87">
        <v>183</v>
      </c>
      <c r="F85" s="4">
        <v>45.17</v>
      </c>
      <c r="G85" s="21">
        <v>186</v>
      </c>
      <c r="H85" s="4">
        <v>58.59</v>
      </c>
      <c r="I85" s="21">
        <v>173</v>
      </c>
      <c r="J85" s="4">
        <v>31.36</v>
      </c>
      <c r="K85" s="87">
        <v>224</v>
      </c>
      <c r="M85" s="21"/>
      <c r="N85" s="4">
        <v>83.58</v>
      </c>
      <c r="O85" s="21">
        <v>128</v>
      </c>
      <c r="P85" s="4">
        <v>30.46</v>
      </c>
      <c r="Q85" s="88">
        <v>5.2</v>
      </c>
      <c r="R85" s="309"/>
      <c r="S85" s="21"/>
      <c r="U85" s="21"/>
      <c r="V85" s="25">
        <f>COUNT(B85:U85)/2</f>
        <v>7</v>
      </c>
      <c r="AG85" s="39"/>
    </row>
    <row r="86" spans="1:33" x14ac:dyDescent="0.2">
      <c r="A86" s="24" t="s">
        <v>295</v>
      </c>
      <c r="B86" s="4">
        <v>34.15</v>
      </c>
      <c r="C86" s="21">
        <v>234</v>
      </c>
      <c r="D86" s="4"/>
      <c r="E86" s="87"/>
      <c r="F86" s="4">
        <v>45.3</v>
      </c>
      <c r="G86" s="21">
        <v>188</v>
      </c>
      <c r="H86" s="4">
        <v>57.06</v>
      </c>
      <c r="I86" s="21">
        <v>167</v>
      </c>
      <c r="K86" s="87"/>
      <c r="M86" s="21"/>
      <c r="N86" s="4">
        <v>78.180000000000007</v>
      </c>
      <c r="O86" s="21">
        <v>114</v>
      </c>
      <c r="P86" s="4">
        <v>23.25</v>
      </c>
      <c r="Q86" s="88">
        <v>4.5999999999999996</v>
      </c>
      <c r="R86" s="309"/>
      <c r="S86" s="21"/>
      <c r="U86" s="21"/>
      <c r="V86" s="25">
        <f t="shared" si="1"/>
        <v>5</v>
      </c>
      <c r="AG86" s="39"/>
    </row>
    <row r="87" spans="1:33" x14ac:dyDescent="0.2">
      <c r="A87" s="187" t="s">
        <v>502</v>
      </c>
      <c r="B87" s="4"/>
      <c r="C87" s="21"/>
      <c r="D87" s="4">
        <v>38.53</v>
      </c>
      <c r="E87" s="87">
        <v>195</v>
      </c>
      <c r="F87" s="4">
        <v>48.3</v>
      </c>
      <c r="G87" s="21">
        <v>199</v>
      </c>
      <c r="H87" s="4">
        <v>62.22</v>
      </c>
      <c r="I87" s="21">
        <v>183</v>
      </c>
      <c r="J87" s="4">
        <v>33.04</v>
      </c>
      <c r="K87" s="87">
        <v>234</v>
      </c>
      <c r="L87" s="4">
        <v>55.41</v>
      </c>
      <c r="M87" s="21">
        <v>181</v>
      </c>
      <c r="O87" s="21"/>
      <c r="Q87" s="88"/>
      <c r="R87" s="4">
        <v>126.14</v>
      </c>
      <c r="S87" s="21">
        <v>135</v>
      </c>
      <c r="U87" s="21"/>
      <c r="V87" s="25">
        <f>COUNT(B87:U87)/2</f>
        <v>6</v>
      </c>
      <c r="AG87" s="39"/>
    </row>
    <row r="88" spans="1:33" x14ac:dyDescent="0.2">
      <c r="A88" s="187" t="s">
        <v>386</v>
      </c>
      <c r="B88" s="4"/>
      <c r="C88" s="21"/>
      <c r="D88" s="4"/>
      <c r="E88" s="87"/>
      <c r="G88" s="21"/>
      <c r="H88" s="4"/>
      <c r="I88" s="21"/>
      <c r="K88" s="87"/>
      <c r="M88" s="21"/>
      <c r="O88" s="21"/>
      <c r="Q88" s="88"/>
      <c r="S88" s="21"/>
      <c r="U88" s="21"/>
      <c r="V88" s="25">
        <f t="shared" si="1"/>
        <v>0</v>
      </c>
      <c r="AG88" s="39"/>
    </row>
    <row r="89" spans="1:33" x14ac:dyDescent="0.2">
      <c r="A89" s="187" t="s">
        <v>187</v>
      </c>
      <c r="B89" s="4">
        <v>39.049999999999997</v>
      </c>
      <c r="C89" s="21">
        <v>250</v>
      </c>
      <c r="D89" s="4">
        <v>43.09</v>
      </c>
      <c r="E89" s="87">
        <v>205</v>
      </c>
      <c r="F89" s="4">
        <v>55.45</v>
      </c>
      <c r="G89" s="21">
        <v>215</v>
      </c>
      <c r="H89" s="4"/>
      <c r="I89" s="21"/>
      <c r="K89" s="87"/>
      <c r="M89" s="21"/>
      <c r="O89" s="21"/>
      <c r="Q89" s="88"/>
      <c r="S89" s="21"/>
      <c r="U89" s="21"/>
      <c r="V89" s="25">
        <f t="shared" si="1"/>
        <v>3</v>
      </c>
      <c r="AG89" s="39"/>
    </row>
    <row r="90" spans="1:33" s="39" customFormat="1" hidden="1" x14ac:dyDescent="0.2">
      <c r="A90" s="40" t="s">
        <v>276</v>
      </c>
      <c r="B90" s="4"/>
      <c r="C90" s="21"/>
      <c r="D90" s="4"/>
      <c r="E90" s="87"/>
      <c r="F90" s="4"/>
      <c r="G90" s="21"/>
      <c r="H90" s="4"/>
      <c r="I90" s="21"/>
      <c r="J90" s="4"/>
      <c r="K90" s="87"/>
      <c r="L90" s="4"/>
      <c r="M90" s="21"/>
      <c r="N90" s="4"/>
      <c r="O90" s="21"/>
      <c r="P90" s="4"/>
      <c r="Q90" s="88"/>
      <c r="R90" s="4"/>
      <c r="S90" s="21"/>
      <c r="T90" s="4"/>
      <c r="U90" s="21"/>
      <c r="V90" s="25">
        <f t="shared" si="1"/>
        <v>0</v>
      </c>
      <c r="W90" s="6"/>
      <c r="X90" s="310"/>
      <c r="Y90" s="7"/>
      <c r="Z90" s="7"/>
      <c r="AA90" s="7"/>
      <c r="AB90" s="7"/>
      <c r="AC90" s="7"/>
      <c r="AD90" s="7"/>
      <c r="AE90" s="7"/>
      <c r="AF90" s="7"/>
    </row>
    <row r="91" spans="1:33" s="39" customFormat="1" hidden="1" x14ac:dyDescent="0.2">
      <c r="A91" s="40" t="s">
        <v>123</v>
      </c>
      <c r="B91" s="4"/>
      <c r="C91" s="21"/>
      <c r="D91" s="4"/>
      <c r="E91" s="87"/>
      <c r="F91" s="4"/>
      <c r="G91" s="21"/>
      <c r="H91" s="4"/>
      <c r="I91" s="21"/>
      <c r="J91" s="4"/>
      <c r="K91" s="87"/>
      <c r="L91" s="4"/>
      <c r="M91" s="21"/>
      <c r="N91" s="4"/>
      <c r="O91" s="21"/>
      <c r="P91" s="4"/>
      <c r="Q91" s="88"/>
      <c r="R91" s="4"/>
      <c r="S91" s="21"/>
      <c r="T91" s="4"/>
      <c r="U91" s="21"/>
      <c r="V91" s="25">
        <f t="shared" si="1"/>
        <v>0</v>
      </c>
      <c r="W91" s="6"/>
      <c r="X91" s="310"/>
      <c r="Y91" s="7"/>
      <c r="Z91" s="7"/>
      <c r="AA91" s="7"/>
      <c r="AB91" s="7"/>
      <c r="AC91" s="7"/>
      <c r="AD91" s="7"/>
      <c r="AE91" s="7"/>
      <c r="AF91" s="7"/>
    </row>
    <row r="92" spans="1:33" s="39" customFormat="1" hidden="1" x14ac:dyDescent="0.2">
      <c r="A92" s="24" t="s">
        <v>102</v>
      </c>
      <c r="B92" s="4"/>
      <c r="C92" s="21"/>
      <c r="D92" s="4"/>
      <c r="E92" s="87"/>
      <c r="F92" s="4"/>
      <c r="G92" s="21"/>
      <c r="H92" s="4"/>
      <c r="I92" s="21"/>
      <c r="J92" s="4"/>
      <c r="K92" s="87"/>
      <c r="L92" s="4"/>
      <c r="M92" s="21"/>
      <c r="N92" s="4"/>
      <c r="O92" s="21"/>
      <c r="P92" s="4"/>
      <c r="Q92" s="88"/>
      <c r="R92" s="4"/>
      <c r="S92" s="21"/>
      <c r="T92" s="4"/>
      <c r="U92" s="21"/>
      <c r="V92" s="25">
        <f t="shared" si="1"/>
        <v>0</v>
      </c>
      <c r="W92" s="6"/>
      <c r="X92" s="310"/>
      <c r="Y92" s="7"/>
      <c r="Z92" s="7"/>
      <c r="AA92" s="7"/>
      <c r="AB92" s="7"/>
      <c r="AC92" s="7"/>
      <c r="AD92" s="7"/>
      <c r="AE92" s="7"/>
      <c r="AF92" s="7"/>
    </row>
    <row r="93" spans="1:33" s="39" customFormat="1" hidden="1" x14ac:dyDescent="0.2">
      <c r="A93" s="187" t="s">
        <v>378</v>
      </c>
      <c r="B93" s="4"/>
      <c r="C93" s="21"/>
      <c r="D93" s="177"/>
      <c r="E93" s="87"/>
      <c r="F93" s="4"/>
      <c r="G93" s="21"/>
      <c r="H93" s="4"/>
      <c r="I93" s="21"/>
      <c r="J93" s="4"/>
      <c r="K93" s="87"/>
      <c r="L93" s="4"/>
      <c r="M93" s="21"/>
      <c r="N93" s="4"/>
      <c r="O93" s="21"/>
      <c r="P93" s="4"/>
      <c r="Q93" s="88"/>
      <c r="R93" s="4"/>
      <c r="S93" s="21"/>
      <c r="T93" s="4"/>
      <c r="U93" s="21"/>
      <c r="V93" s="279">
        <f>COUNT(B93:U93)/2</f>
        <v>0</v>
      </c>
      <c r="W93" s="6"/>
      <c r="X93" s="310"/>
      <c r="Y93" s="7"/>
      <c r="Z93" s="7"/>
      <c r="AA93" s="7"/>
      <c r="AB93" s="7"/>
      <c r="AC93" s="7"/>
      <c r="AD93" s="7"/>
      <c r="AE93" s="7"/>
      <c r="AF93" s="7"/>
    </row>
    <row r="94" spans="1:33" hidden="1" x14ac:dyDescent="0.2">
      <c r="A94" s="24" t="s">
        <v>55</v>
      </c>
      <c r="B94" s="4"/>
      <c r="C94" s="21"/>
      <c r="D94" s="177"/>
      <c r="E94" s="87"/>
      <c r="G94" s="21"/>
      <c r="H94" s="4"/>
      <c r="I94" s="21"/>
      <c r="K94" s="21"/>
      <c r="M94" s="21"/>
      <c r="O94" s="21"/>
      <c r="Q94" s="88"/>
      <c r="S94" s="21"/>
      <c r="U94" s="21"/>
      <c r="V94" s="279">
        <f>COUNT(B94:U94)/2</f>
        <v>0</v>
      </c>
    </row>
    <row r="95" spans="1:33" hidden="1" x14ac:dyDescent="0.2">
      <c r="A95" s="24" t="s">
        <v>296</v>
      </c>
      <c r="B95" s="4"/>
      <c r="C95" s="21"/>
      <c r="D95" s="4"/>
      <c r="E95" s="87"/>
      <c r="G95" s="21"/>
      <c r="H95" s="4"/>
      <c r="I95" s="21"/>
      <c r="K95" s="87"/>
      <c r="M95" s="21"/>
      <c r="O95" s="21"/>
      <c r="Q95" s="88"/>
      <c r="S95" s="21"/>
      <c r="U95" s="21"/>
      <c r="V95" s="25">
        <f>COUNT(B95:U95)/2</f>
        <v>0</v>
      </c>
      <c r="AG95" s="39"/>
    </row>
    <row r="96" spans="1:33" x14ac:dyDescent="0.2">
      <c r="A96" s="24" t="s">
        <v>53</v>
      </c>
      <c r="B96" s="4">
        <v>41.12</v>
      </c>
      <c r="C96" s="21">
        <v>254</v>
      </c>
      <c r="D96" s="4">
        <v>43.15</v>
      </c>
      <c r="E96" s="87">
        <v>206</v>
      </c>
      <c r="F96" s="4">
        <v>54.34</v>
      </c>
      <c r="G96" s="21">
        <v>211</v>
      </c>
      <c r="H96" s="4">
        <v>71.11</v>
      </c>
      <c r="I96" s="21">
        <v>191</v>
      </c>
      <c r="J96" s="4">
        <v>38.270000000000003</v>
      </c>
      <c r="K96" s="87">
        <v>249</v>
      </c>
      <c r="L96" s="4">
        <v>65.16</v>
      </c>
      <c r="M96" s="21">
        <v>194</v>
      </c>
      <c r="N96" s="4">
        <v>99.46</v>
      </c>
      <c r="O96" s="21">
        <v>140</v>
      </c>
      <c r="Q96" s="88"/>
      <c r="S96" s="21"/>
      <c r="U96" s="21"/>
      <c r="V96" s="25">
        <f>COUNT(B96:U96)/2</f>
        <v>7</v>
      </c>
      <c r="AG96" s="39"/>
    </row>
    <row r="97" spans="1:28" x14ac:dyDescent="0.2">
      <c r="A97" s="26" t="s">
        <v>8</v>
      </c>
      <c r="B97" s="81"/>
      <c r="C97" s="82">
        <v>261</v>
      </c>
      <c r="D97" s="81"/>
      <c r="E97" s="82">
        <v>215</v>
      </c>
      <c r="F97" s="81"/>
      <c r="G97" s="82">
        <v>219</v>
      </c>
      <c r="H97" s="23"/>
      <c r="I97" s="82">
        <v>197</v>
      </c>
      <c r="J97" s="81"/>
      <c r="K97" s="82">
        <v>251</v>
      </c>
      <c r="L97" s="23"/>
      <c r="M97" s="82">
        <v>196</v>
      </c>
      <c r="N97" s="23"/>
      <c r="O97" s="82">
        <v>145</v>
      </c>
      <c r="P97" s="23"/>
      <c r="Q97" s="89"/>
      <c r="R97" s="23"/>
      <c r="S97" s="82">
        <v>146</v>
      </c>
      <c r="T97" s="23"/>
      <c r="U97" s="82"/>
      <c r="V97" s="27"/>
      <c r="W97" s="28"/>
    </row>
    <row r="98" spans="1:28" x14ac:dyDescent="0.2">
      <c r="A98" s="24"/>
      <c r="B98" s="4"/>
      <c r="C98" s="21"/>
      <c r="D98" s="4"/>
      <c r="E98" s="21"/>
      <c r="G98" s="21"/>
      <c r="H98" s="4"/>
      <c r="I98" s="21"/>
      <c r="K98" s="21"/>
      <c r="M98" s="21"/>
      <c r="O98" s="21"/>
      <c r="Q98" s="88"/>
      <c r="S98" s="21"/>
      <c r="U98" s="21"/>
      <c r="V98" s="25"/>
    </row>
    <row r="99" spans="1:28" hidden="1" x14ac:dyDescent="0.2">
      <c r="A99" s="36" t="s">
        <v>68</v>
      </c>
      <c r="B99" s="76" t="s">
        <v>85</v>
      </c>
      <c r="C99" s="21"/>
      <c r="D99" s="76" t="s">
        <v>279</v>
      </c>
      <c r="E99" s="21"/>
      <c r="F99" s="76" t="s">
        <v>87</v>
      </c>
      <c r="G99" s="21"/>
      <c r="H99" s="76" t="s">
        <v>86</v>
      </c>
      <c r="I99" s="21"/>
      <c r="J99" s="76" t="s">
        <v>116</v>
      </c>
      <c r="K99" s="21"/>
      <c r="L99" s="76" t="s">
        <v>84</v>
      </c>
      <c r="M99" s="21"/>
      <c r="N99" s="76" t="s">
        <v>85</v>
      </c>
      <c r="O99" s="21"/>
      <c r="P99" s="76"/>
      <c r="Q99" s="88"/>
      <c r="R99" s="76"/>
      <c r="S99" s="21"/>
      <c r="T99" s="76"/>
      <c r="U99" s="21"/>
      <c r="V99" s="22"/>
    </row>
    <row r="100" spans="1:28" hidden="1" x14ac:dyDescent="0.2">
      <c r="A100" s="24" t="s">
        <v>72</v>
      </c>
      <c r="B100" s="4"/>
      <c r="C100" s="21"/>
      <c r="D100" s="4"/>
      <c r="E100" s="21"/>
      <c r="G100" s="21"/>
      <c r="H100" s="4"/>
      <c r="I100" s="21"/>
      <c r="K100" s="21"/>
      <c r="M100" s="21"/>
      <c r="O100" s="21"/>
      <c r="Q100" s="88"/>
      <c r="S100" s="21"/>
      <c r="U100" s="21"/>
      <c r="V100" s="25">
        <f>COUNT(B100:U100)/2</f>
        <v>0</v>
      </c>
    </row>
    <row r="101" spans="1:28" hidden="1" x14ac:dyDescent="0.2">
      <c r="A101" s="24" t="s">
        <v>110</v>
      </c>
      <c r="B101" s="4"/>
      <c r="C101" s="21"/>
      <c r="D101" s="4"/>
      <c r="E101" s="21"/>
      <c r="G101" s="21"/>
      <c r="H101" s="4"/>
      <c r="I101" s="21"/>
      <c r="K101" s="21"/>
      <c r="M101" s="21"/>
      <c r="O101" s="21"/>
      <c r="Q101" s="88"/>
      <c r="S101" s="21"/>
      <c r="U101" s="21"/>
      <c r="V101" s="25">
        <f>COUNT(B101:U101)/2</f>
        <v>0</v>
      </c>
    </row>
    <row r="102" spans="1:28" hidden="1" x14ac:dyDescent="0.2">
      <c r="A102" s="24" t="s">
        <v>59</v>
      </c>
      <c r="B102" s="176"/>
      <c r="C102" s="21"/>
      <c r="D102" s="4"/>
      <c r="E102" s="21"/>
      <c r="G102" s="21"/>
      <c r="H102" s="4"/>
      <c r="I102" s="21"/>
      <c r="K102" s="21"/>
      <c r="M102" s="21"/>
      <c r="O102" s="21"/>
      <c r="Q102" s="88"/>
      <c r="S102" s="21"/>
      <c r="U102" s="21"/>
      <c r="V102" s="25">
        <f>COUNT(B102:U102)/2</f>
        <v>0</v>
      </c>
    </row>
    <row r="103" spans="1:28" hidden="1" x14ac:dyDescent="0.2">
      <c r="A103" s="26" t="s">
        <v>8</v>
      </c>
      <c r="B103" s="81"/>
      <c r="C103" s="82"/>
      <c r="D103" s="81"/>
      <c r="E103" s="82"/>
      <c r="F103" s="23"/>
      <c r="G103" s="82"/>
      <c r="H103" s="81"/>
      <c r="I103" s="82"/>
      <c r="J103" s="81"/>
      <c r="K103" s="82"/>
      <c r="L103" s="23"/>
      <c r="M103" s="82"/>
      <c r="N103" s="23"/>
      <c r="O103" s="82"/>
      <c r="P103" s="23"/>
      <c r="Q103" s="89"/>
      <c r="R103" s="23"/>
      <c r="S103" s="82"/>
      <c r="T103" s="23"/>
      <c r="U103" s="82"/>
      <c r="V103" s="27"/>
      <c r="W103" s="28"/>
    </row>
    <row r="104" spans="1:28" hidden="1" x14ac:dyDescent="0.2">
      <c r="A104" s="24"/>
      <c r="B104" s="4"/>
      <c r="C104" s="21"/>
      <c r="D104" s="4"/>
      <c r="E104" s="21"/>
      <c r="G104" s="21"/>
      <c r="H104" s="4"/>
      <c r="I104" s="21"/>
      <c r="K104" s="21"/>
      <c r="M104" s="21"/>
      <c r="O104" s="21"/>
      <c r="Q104" s="88"/>
      <c r="S104" s="21"/>
      <c r="U104" s="21"/>
      <c r="V104" s="25"/>
    </row>
    <row r="105" spans="1:28" x14ac:dyDescent="0.2">
      <c r="A105" s="36" t="s">
        <v>57</v>
      </c>
      <c r="B105" s="76" t="s">
        <v>85</v>
      </c>
      <c r="C105" s="21"/>
      <c r="D105" s="334" t="s">
        <v>85</v>
      </c>
      <c r="E105" s="21"/>
      <c r="F105" s="76" t="s">
        <v>87</v>
      </c>
      <c r="G105" s="21"/>
      <c r="H105" s="76" t="s">
        <v>86</v>
      </c>
      <c r="I105" s="21"/>
      <c r="J105" s="76" t="s">
        <v>116</v>
      </c>
      <c r="K105" s="21"/>
      <c r="L105" s="76" t="s">
        <v>86</v>
      </c>
      <c r="M105" s="21"/>
      <c r="N105" s="76" t="s">
        <v>85</v>
      </c>
      <c r="O105" s="21"/>
      <c r="P105" s="76"/>
      <c r="Q105" s="88"/>
      <c r="R105" s="76"/>
      <c r="S105" s="21"/>
      <c r="T105" s="76"/>
      <c r="U105" s="21"/>
      <c r="V105" s="22"/>
    </row>
    <row r="106" spans="1:28" x14ac:dyDescent="0.2">
      <c r="A106" s="187" t="s">
        <v>689</v>
      </c>
      <c r="B106" s="4">
        <v>12.02</v>
      </c>
      <c r="C106" s="21">
        <v>21</v>
      </c>
      <c r="D106" s="4">
        <v>13.57</v>
      </c>
      <c r="E106" s="21">
        <v>13</v>
      </c>
      <c r="F106" s="4">
        <v>25.35</v>
      </c>
      <c r="G106" s="21">
        <v>11</v>
      </c>
      <c r="H106" s="4"/>
      <c r="I106" s="21"/>
      <c r="K106" s="21"/>
      <c r="L106" s="4">
        <v>11.09</v>
      </c>
      <c r="M106" s="21">
        <v>7</v>
      </c>
      <c r="N106" s="4">
        <v>23.39</v>
      </c>
      <c r="O106" s="21">
        <v>9</v>
      </c>
      <c r="P106" s="4">
        <v>26.32</v>
      </c>
      <c r="Q106" s="88">
        <v>6</v>
      </c>
      <c r="S106" s="21"/>
      <c r="U106" s="21"/>
      <c r="V106" s="25">
        <f>COUNT(B106:U106)/2</f>
        <v>6</v>
      </c>
    </row>
    <row r="107" spans="1:28" x14ac:dyDescent="0.2">
      <c r="A107" s="187" t="s">
        <v>668</v>
      </c>
      <c r="B107" s="4">
        <v>13.32</v>
      </c>
      <c r="C107" s="21">
        <v>40</v>
      </c>
      <c r="D107" s="4"/>
      <c r="E107" s="21"/>
      <c r="G107" s="21"/>
      <c r="H107" s="4"/>
      <c r="I107" s="21"/>
      <c r="K107" s="21"/>
      <c r="M107" s="21"/>
      <c r="O107" s="21"/>
      <c r="Q107" s="88"/>
      <c r="S107" s="21"/>
      <c r="U107" s="21"/>
      <c r="V107" s="25">
        <f>COUNT(B107:U107)/2</f>
        <v>1</v>
      </c>
    </row>
    <row r="108" spans="1:28" x14ac:dyDescent="0.2">
      <c r="A108" s="26" t="s">
        <v>8</v>
      </c>
      <c r="B108" s="81"/>
      <c r="C108" s="82">
        <v>48</v>
      </c>
      <c r="D108" s="81"/>
      <c r="E108" s="82">
        <v>34</v>
      </c>
      <c r="F108" s="23"/>
      <c r="G108" s="82">
        <v>24</v>
      </c>
      <c r="H108" s="81"/>
      <c r="I108" s="82"/>
      <c r="J108" s="81"/>
      <c r="K108" s="82"/>
      <c r="L108" s="23"/>
      <c r="M108" s="82">
        <v>19</v>
      </c>
      <c r="N108" s="23"/>
      <c r="O108" s="82">
        <v>20</v>
      </c>
      <c r="P108" s="23"/>
      <c r="Q108" s="89"/>
      <c r="R108" s="23"/>
      <c r="S108" s="82"/>
      <c r="T108" s="23"/>
      <c r="U108" s="82"/>
      <c r="V108" s="27"/>
    </row>
    <row r="109" spans="1:28" x14ac:dyDescent="0.2">
      <c r="A109" s="24"/>
      <c r="B109" s="4"/>
      <c r="C109" s="21"/>
      <c r="D109" s="4"/>
      <c r="E109" s="21"/>
      <c r="G109" s="21"/>
      <c r="H109" s="4"/>
      <c r="I109" s="21"/>
      <c r="K109" s="21"/>
      <c r="M109" s="21"/>
      <c r="O109" s="21"/>
      <c r="Q109" s="88"/>
      <c r="S109" s="21"/>
      <c r="U109" s="21"/>
      <c r="V109" s="25"/>
    </row>
    <row r="110" spans="1:28" x14ac:dyDescent="0.2">
      <c r="A110" s="36" t="s">
        <v>58</v>
      </c>
      <c r="B110" s="76" t="s">
        <v>85</v>
      </c>
      <c r="C110" s="21"/>
      <c r="D110" s="76"/>
      <c r="E110" s="21"/>
      <c r="F110" s="76" t="s">
        <v>87</v>
      </c>
      <c r="G110" s="21"/>
      <c r="H110" s="76" t="s">
        <v>84</v>
      </c>
      <c r="I110" s="21"/>
      <c r="J110" s="76"/>
      <c r="K110" s="21"/>
      <c r="L110" s="76" t="s">
        <v>86</v>
      </c>
      <c r="M110" s="21"/>
      <c r="N110" s="76" t="s">
        <v>85</v>
      </c>
      <c r="O110" s="21"/>
      <c r="P110" s="76"/>
      <c r="Q110" s="88"/>
      <c r="R110" s="76"/>
      <c r="S110" s="21"/>
      <c r="T110" s="76"/>
      <c r="U110" s="21"/>
      <c r="V110" s="22"/>
    </row>
    <row r="111" spans="1:28" x14ac:dyDescent="0.2">
      <c r="A111" s="187" t="s">
        <v>661</v>
      </c>
      <c r="B111" s="4">
        <v>15.5</v>
      </c>
      <c r="C111" s="21">
        <v>45</v>
      </c>
      <c r="D111" s="4"/>
      <c r="E111" s="21"/>
      <c r="G111" s="21"/>
      <c r="H111" s="4"/>
      <c r="I111" s="21"/>
      <c r="J111" s="4">
        <v>34.14</v>
      </c>
      <c r="K111" s="21">
        <v>239</v>
      </c>
      <c r="M111" s="21"/>
      <c r="O111" s="21"/>
      <c r="Q111" s="88"/>
      <c r="S111" s="21"/>
      <c r="U111" s="21"/>
      <c r="V111" s="25">
        <f>COUNT(B111:U111)/2</f>
        <v>2</v>
      </c>
      <c r="X111" s="5"/>
    </row>
    <row r="112" spans="1:28" s="6" customFormat="1" x14ac:dyDescent="0.2">
      <c r="A112" s="26" t="s">
        <v>8</v>
      </c>
      <c r="B112" s="81"/>
      <c r="C112" s="82">
        <v>48</v>
      </c>
      <c r="D112" s="81"/>
      <c r="E112" s="82"/>
      <c r="F112" s="23"/>
      <c r="G112" s="82"/>
      <c r="H112" s="81"/>
      <c r="I112" s="82"/>
      <c r="J112" s="81"/>
      <c r="K112" s="82">
        <v>251</v>
      </c>
      <c r="L112" s="23"/>
      <c r="M112" s="82"/>
      <c r="N112" s="23"/>
      <c r="O112" s="82"/>
      <c r="P112" s="23"/>
      <c r="Q112" s="89"/>
      <c r="R112" s="23"/>
      <c r="S112" s="82"/>
      <c r="T112" s="23"/>
      <c r="U112" s="82"/>
      <c r="V112" s="27"/>
      <c r="X112" s="310"/>
      <c r="Y112" s="7"/>
      <c r="Z112" s="7"/>
      <c r="AA112" s="7"/>
      <c r="AB112" s="7"/>
    </row>
    <row r="113" spans="1:32" hidden="1" x14ac:dyDescent="0.2">
      <c r="A113" s="24"/>
      <c r="B113" s="4"/>
      <c r="C113" s="21"/>
      <c r="D113" s="4"/>
      <c r="E113" s="21"/>
      <c r="G113" s="21"/>
      <c r="H113" s="4"/>
      <c r="I113" s="21"/>
      <c r="K113" s="21"/>
      <c r="M113" s="21"/>
      <c r="O113" s="21"/>
      <c r="Q113" s="88"/>
      <c r="S113" s="21"/>
      <c r="U113" s="21"/>
      <c r="V113" s="25"/>
    </row>
    <row r="114" spans="1:32" hidden="1" x14ac:dyDescent="0.2">
      <c r="A114" s="36" t="s">
        <v>62</v>
      </c>
      <c r="B114" s="76"/>
      <c r="C114" s="21"/>
      <c r="D114" s="76"/>
      <c r="E114" s="21"/>
      <c r="F114" s="76"/>
      <c r="G114" s="21"/>
      <c r="H114" s="76"/>
      <c r="I114" s="21"/>
      <c r="J114" s="76"/>
      <c r="K114" s="21"/>
      <c r="L114" s="76"/>
      <c r="M114" s="21"/>
      <c r="N114" s="76"/>
      <c r="O114" s="21"/>
      <c r="P114" s="76"/>
      <c r="Q114" s="88"/>
      <c r="R114" s="76"/>
      <c r="S114" s="21"/>
      <c r="T114" s="76"/>
      <c r="U114" s="21"/>
      <c r="V114" s="22"/>
    </row>
    <row r="115" spans="1:32" hidden="1" x14ac:dyDescent="0.2">
      <c r="A115" s="36" t="s">
        <v>292</v>
      </c>
      <c r="B115" s="76"/>
      <c r="C115" s="21"/>
      <c r="D115" s="76"/>
      <c r="E115" s="21"/>
      <c r="F115" s="76"/>
      <c r="G115" s="21"/>
      <c r="H115" s="76"/>
      <c r="I115" s="21"/>
      <c r="J115" s="76"/>
      <c r="K115" s="21"/>
      <c r="L115" s="76"/>
      <c r="M115" s="21"/>
      <c r="N115" s="76"/>
      <c r="O115" s="21"/>
      <c r="P115" s="76"/>
      <c r="Q115" s="88"/>
      <c r="R115" s="76"/>
      <c r="S115" s="21"/>
      <c r="T115" s="76"/>
      <c r="U115" s="21"/>
      <c r="V115" s="22"/>
    </row>
    <row r="116" spans="1:32" hidden="1" x14ac:dyDescent="0.2">
      <c r="A116" s="77" t="s">
        <v>8</v>
      </c>
      <c r="B116" s="78"/>
      <c r="C116" s="79"/>
      <c r="D116" s="78"/>
      <c r="E116" s="79"/>
      <c r="F116" s="33"/>
      <c r="G116" s="79"/>
      <c r="H116" s="78"/>
      <c r="I116" s="79"/>
      <c r="J116" s="78"/>
      <c r="K116" s="79"/>
      <c r="L116" s="33"/>
      <c r="M116" s="79"/>
      <c r="N116" s="33"/>
      <c r="O116" s="79"/>
      <c r="P116" s="33"/>
      <c r="Q116" s="79"/>
      <c r="R116" s="33"/>
      <c r="S116" s="79"/>
      <c r="T116" s="33"/>
      <c r="U116" s="79"/>
      <c r="V116" s="80"/>
    </row>
    <row r="117" spans="1:32" x14ac:dyDescent="0.2">
      <c r="A117" s="157"/>
      <c r="B117" s="81"/>
      <c r="C117" s="81"/>
      <c r="D117" s="81"/>
      <c r="E117" s="81"/>
      <c r="F117" s="23"/>
      <c r="G117" s="81"/>
      <c r="H117" s="81"/>
      <c r="I117" s="81"/>
      <c r="J117" s="81"/>
      <c r="K117" s="81"/>
      <c r="L117" s="23"/>
      <c r="M117" s="81"/>
      <c r="N117" s="23"/>
      <c r="O117" s="81"/>
      <c r="P117" s="23"/>
      <c r="Q117" s="81"/>
      <c r="R117" s="23"/>
      <c r="S117" s="81"/>
      <c r="T117" s="23"/>
      <c r="U117" s="81"/>
      <c r="V117" s="158"/>
      <c r="W117" s="28"/>
      <c r="X117" s="5"/>
    </row>
    <row r="118" spans="1:32" x14ac:dyDescent="0.2">
      <c r="A118" s="43"/>
      <c r="B118" s="29"/>
      <c r="C118" s="44"/>
      <c r="D118" s="29"/>
      <c r="E118" s="44"/>
      <c r="F118" s="29"/>
      <c r="G118" s="44"/>
      <c r="H118" s="29"/>
      <c r="I118" s="44"/>
      <c r="J118" s="29"/>
      <c r="K118" s="44"/>
      <c r="L118" s="29"/>
      <c r="M118" s="44"/>
      <c r="N118" s="29"/>
      <c r="O118" s="44"/>
      <c r="P118" s="29"/>
      <c r="Q118" s="44"/>
      <c r="R118" s="29"/>
      <c r="S118" s="44"/>
      <c r="T118" s="29"/>
      <c r="U118" s="44"/>
      <c r="V118" s="30"/>
    </row>
    <row r="119" spans="1:32" s="17" customFormat="1" ht="25.5" x14ac:dyDescent="0.2">
      <c r="A119" s="9"/>
      <c r="B119" s="10" t="str">
        <f>B3</f>
        <v>Jells Park</v>
      </c>
      <c r="C119" s="11"/>
      <c r="D119" s="10" t="str">
        <f>D3</f>
        <v>Wandin Park</v>
      </c>
      <c r="E119" s="13"/>
      <c r="F119" s="10" t="str">
        <f>F3</f>
        <v>Cruden Farm</v>
      </c>
      <c r="G119" s="11"/>
      <c r="H119" s="10" t="str">
        <f>H3</f>
        <v>Bundoora</v>
      </c>
      <c r="I119" s="13"/>
      <c r="J119" s="10" t="str">
        <f>J3</f>
        <v>Sandown</v>
      </c>
      <c r="K119" s="13"/>
      <c r="L119" s="10" t="str">
        <f>L3</f>
        <v>Albert Park</v>
      </c>
      <c r="M119" s="13"/>
      <c r="N119" s="93" t="str">
        <f>N3</f>
        <v>Ballarat</v>
      </c>
      <c r="O119" s="11"/>
      <c r="P119" s="10" t="str">
        <f>P3</f>
        <v>Anglesea</v>
      </c>
      <c r="Q119" s="11"/>
      <c r="R119" s="10" t="str">
        <f>R3</f>
        <v>Burnley</v>
      </c>
      <c r="S119" s="11"/>
      <c r="T119" s="10" t="str">
        <f>T3</f>
        <v>Princes Park</v>
      </c>
      <c r="U119" s="11"/>
      <c r="V119" s="45" t="s">
        <v>22</v>
      </c>
      <c r="W119" s="7"/>
      <c r="X119" s="5"/>
      <c r="Y119" s="7"/>
      <c r="Z119" s="7"/>
      <c r="AA119" s="7"/>
      <c r="AB119" s="7"/>
      <c r="AC119" s="7"/>
      <c r="AD119" s="7"/>
      <c r="AE119" s="7"/>
      <c r="AF119" s="7"/>
    </row>
    <row r="120" spans="1:32" s="3" customFormat="1" x14ac:dyDescent="0.2">
      <c r="A120" s="46"/>
      <c r="B120" s="19">
        <f>B4</f>
        <v>42847</v>
      </c>
      <c r="C120" s="20"/>
      <c r="D120" s="19">
        <f>D4</f>
        <v>42868</v>
      </c>
      <c r="E120" s="20"/>
      <c r="F120" s="19">
        <f>F4</f>
        <v>42882</v>
      </c>
      <c r="G120" s="20"/>
      <c r="H120" s="19">
        <f>H4</f>
        <v>42903</v>
      </c>
      <c r="I120" s="20"/>
      <c r="J120" s="19">
        <f>J4</f>
        <v>42924</v>
      </c>
      <c r="K120" s="20"/>
      <c r="L120" s="19">
        <f>L4</f>
        <v>42932</v>
      </c>
      <c r="M120" s="20"/>
      <c r="N120" s="19">
        <f>N4</f>
        <v>42945</v>
      </c>
      <c r="O120" s="20"/>
      <c r="P120" s="19">
        <f>P4</f>
        <v>42959</v>
      </c>
      <c r="Q120" s="20"/>
      <c r="R120" s="19">
        <f>R4</f>
        <v>42988</v>
      </c>
      <c r="S120" s="21"/>
      <c r="T120" s="19">
        <f>T4</f>
        <v>42994</v>
      </c>
      <c r="U120" s="21"/>
      <c r="V120" s="47"/>
      <c r="W120" s="7"/>
      <c r="X120" s="310"/>
      <c r="Y120" s="7"/>
      <c r="Z120" s="7"/>
      <c r="AA120" s="7"/>
      <c r="AB120" s="7"/>
      <c r="AC120" s="7"/>
      <c r="AD120" s="7"/>
      <c r="AE120" s="7"/>
      <c r="AF120" s="7"/>
    </row>
    <row r="121" spans="1:32" x14ac:dyDescent="0.2">
      <c r="A121" s="48" t="s">
        <v>10</v>
      </c>
      <c r="B121" s="33"/>
      <c r="C121" s="34" t="s">
        <v>1</v>
      </c>
      <c r="D121" s="33" t="s">
        <v>11</v>
      </c>
      <c r="E121" s="34" t="s">
        <v>1</v>
      </c>
      <c r="F121" s="33" t="s">
        <v>11</v>
      </c>
      <c r="G121" s="34" t="s">
        <v>1</v>
      </c>
      <c r="H121" s="33"/>
      <c r="I121" s="34" t="s">
        <v>1</v>
      </c>
      <c r="J121" s="33" t="s">
        <v>11</v>
      </c>
      <c r="K121" s="34" t="s">
        <v>1</v>
      </c>
      <c r="L121" s="33" t="s">
        <v>11</v>
      </c>
      <c r="M121" s="34" t="s">
        <v>1</v>
      </c>
      <c r="N121" s="33" t="s">
        <v>11</v>
      </c>
      <c r="O121" s="34" t="s">
        <v>1</v>
      </c>
      <c r="P121" s="33" t="s">
        <v>11</v>
      </c>
      <c r="Q121" s="34" t="s">
        <v>1</v>
      </c>
      <c r="R121" s="33" t="s">
        <v>11</v>
      </c>
      <c r="S121" s="34" t="s">
        <v>1</v>
      </c>
      <c r="T121" s="33" t="s">
        <v>11</v>
      </c>
      <c r="U121" s="34" t="s">
        <v>1</v>
      </c>
      <c r="V121" s="47" t="s">
        <v>1</v>
      </c>
      <c r="W121" s="7"/>
      <c r="X121" s="5"/>
    </row>
    <row r="122" spans="1:32" x14ac:dyDescent="0.2">
      <c r="A122" s="36" t="s">
        <v>3</v>
      </c>
      <c r="B122" s="4"/>
      <c r="C122" s="203"/>
      <c r="D122" s="177"/>
      <c r="E122" s="203"/>
      <c r="F122" s="177"/>
      <c r="G122" s="203"/>
      <c r="H122" s="177"/>
      <c r="I122" s="203"/>
      <c r="J122" s="177"/>
      <c r="K122" s="203"/>
      <c r="L122" s="177"/>
      <c r="M122" s="203"/>
      <c r="N122" s="177"/>
      <c r="O122" s="203"/>
      <c r="P122" s="177"/>
      <c r="Q122" s="203"/>
      <c r="R122" s="177"/>
      <c r="S122" s="203"/>
      <c r="T122" s="177"/>
      <c r="U122" s="203"/>
      <c r="V122" s="204"/>
      <c r="W122" s="7"/>
    </row>
    <row r="123" spans="1:32" x14ac:dyDescent="0.2">
      <c r="A123" s="187" t="s">
        <v>403</v>
      </c>
      <c r="B123" s="41"/>
      <c r="C123" s="205">
        <v>6</v>
      </c>
      <c r="D123" s="206">
        <v>804</v>
      </c>
      <c r="E123" s="205">
        <v>6</v>
      </c>
      <c r="F123" s="206">
        <v>451</v>
      </c>
      <c r="G123" s="377">
        <v>1</v>
      </c>
      <c r="H123" s="206">
        <v>697</v>
      </c>
      <c r="I123" s="377">
        <v>1</v>
      </c>
      <c r="J123" s="206"/>
      <c r="K123" s="379">
        <v>2</v>
      </c>
      <c r="L123" s="206">
        <v>774</v>
      </c>
      <c r="M123" s="205">
        <v>4</v>
      </c>
      <c r="N123" s="206">
        <v>635</v>
      </c>
      <c r="O123" s="378">
        <v>2</v>
      </c>
      <c r="P123" s="206"/>
      <c r="Q123" s="205">
        <v>8</v>
      </c>
      <c r="R123" s="206"/>
      <c r="S123" s="203">
        <v>3</v>
      </c>
      <c r="T123" s="206"/>
      <c r="U123" s="203"/>
      <c r="V123" s="204">
        <v>3</v>
      </c>
      <c r="W123" s="7"/>
      <c r="X123" s="5"/>
    </row>
    <row r="124" spans="1:32" x14ac:dyDescent="0.2">
      <c r="A124" s="187" t="s">
        <v>625</v>
      </c>
      <c r="B124" s="41"/>
      <c r="C124" s="205">
        <v>8</v>
      </c>
      <c r="D124" s="206">
        <v>1476</v>
      </c>
      <c r="E124" s="205">
        <v>7</v>
      </c>
      <c r="F124" s="206">
        <v>905</v>
      </c>
      <c r="G124" s="376">
        <v>3</v>
      </c>
      <c r="H124" s="206">
        <v>1334</v>
      </c>
      <c r="I124" s="205">
        <v>5</v>
      </c>
      <c r="J124" s="206"/>
      <c r="K124" s="205">
        <v>12</v>
      </c>
      <c r="L124" s="206">
        <v>1297</v>
      </c>
      <c r="M124" s="205">
        <v>6</v>
      </c>
      <c r="N124" s="206"/>
      <c r="O124" s="205"/>
      <c r="P124" s="206"/>
      <c r="Q124" s="205">
        <v>7</v>
      </c>
      <c r="R124" s="206"/>
      <c r="S124" s="203">
        <v>4</v>
      </c>
      <c r="T124" s="206"/>
      <c r="U124" s="203"/>
      <c r="V124" s="208">
        <v>5</v>
      </c>
      <c r="W124" s="7"/>
    </row>
    <row r="125" spans="1:32" x14ac:dyDescent="0.2">
      <c r="A125" s="187" t="s">
        <v>120</v>
      </c>
      <c r="B125" s="41"/>
      <c r="C125" s="205"/>
      <c r="D125" s="206"/>
      <c r="E125" s="205"/>
      <c r="F125" s="206">
        <v>1170</v>
      </c>
      <c r="G125" s="205">
        <v>7</v>
      </c>
      <c r="H125" s="206"/>
      <c r="I125" s="205"/>
      <c r="J125" s="206"/>
      <c r="K125" s="205"/>
      <c r="L125" s="206"/>
      <c r="M125" s="205"/>
      <c r="N125" s="206"/>
      <c r="O125" s="205"/>
      <c r="P125" s="206"/>
      <c r="Q125" s="205"/>
      <c r="R125" s="206"/>
      <c r="S125" s="203"/>
      <c r="T125" s="206"/>
      <c r="U125" s="203"/>
      <c r="V125" s="204">
        <v>12</v>
      </c>
      <c r="W125" s="7"/>
    </row>
    <row r="126" spans="1:32" x14ac:dyDescent="0.2">
      <c r="A126" s="40" t="s">
        <v>70</v>
      </c>
      <c r="B126" s="41"/>
      <c r="C126" s="378">
        <v>2</v>
      </c>
      <c r="D126" s="206">
        <v>106</v>
      </c>
      <c r="E126" s="205">
        <v>9</v>
      </c>
      <c r="F126" s="206">
        <v>25</v>
      </c>
      <c r="G126" s="378">
        <v>2</v>
      </c>
      <c r="H126" s="206">
        <v>63</v>
      </c>
      <c r="I126" s="376">
        <v>3</v>
      </c>
      <c r="J126" s="206"/>
      <c r="K126" s="205">
        <v>5</v>
      </c>
      <c r="L126" s="206">
        <v>63</v>
      </c>
      <c r="M126" s="205">
        <v>4</v>
      </c>
      <c r="N126" s="206">
        <v>58</v>
      </c>
      <c r="O126" s="205">
        <v>4</v>
      </c>
      <c r="P126" s="206"/>
      <c r="Q126" s="378">
        <v>2</v>
      </c>
      <c r="R126" s="206"/>
      <c r="S126" s="203">
        <v>3</v>
      </c>
      <c r="T126" s="206"/>
      <c r="U126" s="203"/>
      <c r="V126" s="204">
        <v>4</v>
      </c>
      <c r="W126" s="7"/>
    </row>
    <row r="127" spans="1:32" x14ac:dyDescent="0.2">
      <c r="A127" s="40" t="s">
        <v>150</v>
      </c>
      <c r="B127" s="41"/>
      <c r="C127" s="205">
        <v>12</v>
      </c>
      <c r="D127" s="206">
        <v>58</v>
      </c>
      <c r="E127" s="376">
        <v>3</v>
      </c>
      <c r="F127" s="206">
        <v>40</v>
      </c>
      <c r="G127" s="378">
        <v>2</v>
      </c>
      <c r="H127" s="206">
        <v>51</v>
      </c>
      <c r="I127" s="376">
        <v>3</v>
      </c>
      <c r="J127" s="206"/>
      <c r="K127" s="378">
        <v>2</v>
      </c>
      <c r="L127" s="206">
        <v>56</v>
      </c>
      <c r="M127" s="378">
        <v>2</v>
      </c>
      <c r="N127" s="206">
        <v>115</v>
      </c>
      <c r="O127" s="205">
        <v>10</v>
      </c>
      <c r="P127" s="206"/>
      <c r="Q127" s="205"/>
      <c r="R127" s="206"/>
      <c r="S127" s="203">
        <v>2</v>
      </c>
      <c r="T127" s="206"/>
      <c r="U127" s="203"/>
      <c r="V127" s="204">
        <v>3</v>
      </c>
      <c r="W127" s="7"/>
    </row>
    <row r="128" spans="1:32" hidden="1" x14ac:dyDescent="0.2">
      <c r="A128" s="40" t="s">
        <v>63</v>
      </c>
      <c r="B128" s="41"/>
      <c r="C128" s="205"/>
      <c r="D128" s="206"/>
      <c r="E128" s="205"/>
      <c r="F128" s="206"/>
      <c r="G128" s="205"/>
      <c r="H128" s="206"/>
      <c r="I128" s="205"/>
      <c r="J128" s="206"/>
      <c r="K128" s="205"/>
      <c r="L128" s="206"/>
      <c r="M128" s="205"/>
      <c r="N128" s="206"/>
      <c r="O128" s="205"/>
      <c r="P128" s="206"/>
      <c r="Q128" s="205"/>
      <c r="R128" s="206"/>
      <c r="S128" s="203"/>
      <c r="T128" s="206"/>
      <c r="U128" s="203"/>
      <c r="V128" s="208"/>
      <c r="W128" s="7"/>
    </row>
    <row r="129" spans="1:23" x14ac:dyDescent="0.2">
      <c r="A129" s="40" t="s">
        <v>60</v>
      </c>
      <c r="B129" s="41"/>
      <c r="C129" s="205">
        <v>13</v>
      </c>
      <c r="D129" s="206"/>
      <c r="E129" s="205"/>
      <c r="F129" s="206"/>
      <c r="G129" s="205"/>
      <c r="H129" s="206"/>
      <c r="I129" s="205"/>
      <c r="J129" s="206"/>
      <c r="K129" s="205"/>
      <c r="L129" s="206"/>
      <c r="M129" s="205"/>
      <c r="N129" s="206"/>
      <c r="O129" s="205"/>
      <c r="P129" s="206"/>
      <c r="Q129" s="205"/>
      <c r="R129" s="206"/>
      <c r="S129" s="203"/>
      <c r="T129" s="206"/>
      <c r="U129" s="203"/>
      <c r="V129" s="204"/>
      <c r="W129" s="7"/>
    </row>
    <row r="130" spans="1:23" hidden="1" x14ac:dyDescent="0.2">
      <c r="A130" s="40" t="s">
        <v>61</v>
      </c>
      <c r="B130" s="41"/>
      <c r="C130" s="205"/>
      <c r="D130" s="206"/>
      <c r="E130" s="205"/>
      <c r="F130" s="206"/>
      <c r="G130" s="205"/>
      <c r="H130" s="206"/>
      <c r="I130" s="205"/>
      <c r="J130" s="206"/>
      <c r="K130" s="205"/>
      <c r="L130" s="206"/>
      <c r="M130" s="205"/>
      <c r="N130" s="206"/>
      <c r="O130" s="205"/>
      <c r="P130" s="206"/>
      <c r="Q130" s="205"/>
      <c r="R130" s="206"/>
      <c r="S130" s="203"/>
      <c r="T130" s="206"/>
      <c r="U130" s="203"/>
      <c r="V130" s="204"/>
      <c r="W130" s="7"/>
    </row>
    <row r="131" spans="1:23" x14ac:dyDescent="0.2">
      <c r="A131" s="36" t="s">
        <v>9</v>
      </c>
      <c r="B131" s="41"/>
      <c r="C131" s="205"/>
      <c r="D131" s="206"/>
      <c r="E131" s="205"/>
      <c r="F131" s="206"/>
      <c r="G131" s="205"/>
      <c r="H131" s="206"/>
      <c r="I131" s="205"/>
      <c r="J131" s="206"/>
      <c r="K131" s="205"/>
      <c r="L131" s="206"/>
      <c r="M131" s="205"/>
      <c r="N131" s="206"/>
      <c r="O131" s="205"/>
      <c r="P131" s="206"/>
      <c r="Q131" s="205"/>
      <c r="R131" s="206"/>
      <c r="S131" s="203"/>
      <c r="T131" s="206"/>
      <c r="U131" s="203"/>
      <c r="V131" s="204"/>
      <c r="W131" s="7"/>
    </row>
    <row r="132" spans="1:23" x14ac:dyDescent="0.2">
      <c r="A132" s="187" t="s">
        <v>403</v>
      </c>
      <c r="B132" s="41"/>
      <c r="C132" s="205">
        <v>11</v>
      </c>
      <c r="D132" s="206">
        <v>432</v>
      </c>
      <c r="E132" s="205">
        <v>3</v>
      </c>
      <c r="F132" s="206">
        <v>390</v>
      </c>
      <c r="G132" s="376">
        <v>3</v>
      </c>
      <c r="H132" s="206">
        <v>399</v>
      </c>
      <c r="I132" s="377">
        <v>1</v>
      </c>
      <c r="J132" s="206"/>
      <c r="K132" s="205">
        <v>11</v>
      </c>
      <c r="L132" s="206">
        <v>361</v>
      </c>
      <c r="M132" s="377">
        <v>1</v>
      </c>
      <c r="N132" s="206">
        <v>191</v>
      </c>
      <c r="O132" s="377">
        <v>1</v>
      </c>
      <c r="P132" s="206"/>
      <c r="Q132" s="205">
        <v>6</v>
      </c>
      <c r="R132" s="206"/>
      <c r="S132" s="203">
        <v>1</v>
      </c>
      <c r="T132" s="206"/>
      <c r="U132" s="203"/>
      <c r="V132" s="208">
        <v>2</v>
      </c>
      <c r="W132" s="7"/>
    </row>
    <row r="133" spans="1:23" x14ac:dyDescent="0.2">
      <c r="A133" s="24" t="s">
        <v>136</v>
      </c>
      <c r="B133" s="41"/>
      <c r="C133" s="205">
        <v>8</v>
      </c>
      <c r="D133" s="206">
        <v>541</v>
      </c>
      <c r="E133" s="205">
        <v>5</v>
      </c>
      <c r="F133" s="206">
        <v>507</v>
      </c>
      <c r="G133" s="205">
        <v>5</v>
      </c>
      <c r="H133" s="206">
        <v>523</v>
      </c>
      <c r="I133" s="205">
        <v>4</v>
      </c>
      <c r="J133" s="206"/>
      <c r="K133" s="205"/>
      <c r="L133" s="206"/>
      <c r="M133" s="205"/>
      <c r="N133" s="206">
        <v>334</v>
      </c>
      <c r="O133" s="377">
        <v>1</v>
      </c>
      <c r="P133" s="206"/>
      <c r="Q133" s="205"/>
      <c r="R133" s="206"/>
      <c r="S133" s="203">
        <v>1</v>
      </c>
      <c r="T133" s="206"/>
      <c r="U133" s="203"/>
      <c r="V133" s="208">
        <v>5</v>
      </c>
      <c r="W133" s="7"/>
    </row>
    <row r="134" spans="1:23" x14ac:dyDescent="0.2">
      <c r="A134" s="40" t="s">
        <v>70</v>
      </c>
      <c r="B134" s="41"/>
      <c r="C134" s="205">
        <v>7</v>
      </c>
      <c r="D134" s="206">
        <v>77</v>
      </c>
      <c r="E134" s="205">
        <v>7</v>
      </c>
      <c r="F134" s="206">
        <v>61</v>
      </c>
      <c r="G134" s="205">
        <v>5</v>
      </c>
      <c r="H134" s="206">
        <v>63</v>
      </c>
      <c r="I134" s="207">
        <v>6</v>
      </c>
      <c r="J134" s="206"/>
      <c r="K134" s="377">
        <v>1</v>
      </c>
      <c r="L134" s="206">
        <v>60</v>
      </c>
      <c r="M134" s="205">
        <v>4</v>
      </c>
      <c r="N134" s="206">
        <v>25</v>
      </c>
      <c r="O134" s="377">
        <v>1</v>
      </c>
      <c r="P134" s="206"/>
      <c r="Q134" s="378">
        <v>2</v>
      </c>
      <c r="R134" s="206"/>
      <c r="S134" s="203">
        <v>1</v>
      </c>
      <c r="T134" s="206"/>
      <c r="U134" s="203"/>
      <c r="V134" s="204">
        <v>5</v>
      </c>
      <c r="W134" s="7"/>
    </row>
    <row r="135" spans="1:23" x14ac:dyDescent="0.2">
      <c r="A135" s="24" t="s">
        <v>60</v>
      </c>
      <c r="B135" s="41"/>
      <c r="C135" s="205">
        <v>12</v>
      </c>
      <c r="D135" s="206"/>
      <c r="E135" s="205"/>
      <c r="F135" s="206"/>
      <c r="G135" s="205"/>
      <c r="H135" s="206"/>
      <c r="I135" s="205"/>
      <c r="J135" s="206"/>
      <c r="K135" s="205"/>
      <c r="L135" s="206"/>
      <c r="M135" s="205"/>
      <c r="N135" s="206"/>
      <c r="O135" s="205"/>
      <c r="P135" s="206"/>
      <c r="Q135" s="205"/>
      <c r="R135" s="206"/>
      <c r="S135" s="203"/>
      <c r="T135" s="206"/>
      <c r="U135" s="203"/>
      <c r="V135" s="208"/>
      <c r="W135" s="7"/>
    </row>
    <row r="136" spans="1:23" hidden="1" x14ac:dyDescent="0.2">
      <c r="A136" s="50" t="s">
        <v>61</v>
      </c>
      <c r="B136" s="29"/>
      <c r="C136" s="209"/>
      <c r="D136" s="210"/>
      <c r="E136" s="209"/>
      <c r="F136" s="210"/>
      <c r="G136" s="209"/>
      <c r="H136" s="210"/>
      <c r="I136" s="209"/>
      <c r="J136" s="210"/>
      <c r="K136" s="209"/>
      <c r="L136" s="210"/>
      <c r="M136" s="209"/>
      <c r="N136" s="210"/>
      <c r="O136" s="209"/>
      <c r="P136" s="210"/>
      <c r="Q136" s="209"/>
      <c r="R136" s="211"/>
      <c r="S136" s="209"/>
      <c r="T136" s="211"/>
      <c r="U136" s="209"/>
      <c r="V136" s="212"/>
      <c r="W136" s="7"/>
    </row>
    <row r="137" spans="1:23" x14ac:dyDescent="0.2">
      <c r="A137" s="239" t="s">
        <v>71</v>
      </c>
      <c r="B137" s="240"/>
      <c r="C137" s="241">
        <f>COUNT(C111,C106:C107,C100:C102,C77:C96,C69,C64:C65,C59:C60,C54:C55,C7:C38)</f>
        <v>34</v>
      </c>
      <c r="D137" s="240"/>
      <c r="E137" s="241">
        <f>COUNT(E111,E106:E107,E100:E102,E77:E96,E69,E64:E65,E59:E60,E54:E55,E7:E38)</f>
        <v>25</v>
      </c>
      <c r="F137" s="240"/>
      <c r="G137" s="241">
        <f>COUNT(G111,G106:G107,G100:G102,G77:G96,G69,G64:G65,G59:G60,G54:G55,G7:G38)</f>
        <v>28</v>
      </c>
      <c r="H137" s="240"/>
      <c r="I137" s="241">
        <f>COUNT(I111,I106:I107,I100:I102,I77:I96,I69,I64:I65,I59:I60,I54:I55,I7:I38)</f>
        <v>22</v>
      </c>
      <c r="J137" s="240"/>
      <c r="K137" s="241">
        <f>COUNT(K111,K106:K107,K100:K102,K77:K96,K69,K64:K65,K59:K60,K54:K55,K7:K38)</f>
        <v>24</v>
      </c>
      <c r="L137" s="240"/>
      <c r="M137" s="241">
        <f>COUNT(M111,M106:M107,M100:M102,M77:M96,M69,M64:M65,M59:M60,M54:M55,M7:M38)</f>
        <v>22</v>
      </c>
      <c r="N137" s="240"/>
      <c r="O137" s="241">
        <f>COUNT(O111,O106:O107,O100:O102,O77:O96,O69,O64:O65,O59:O60,O54:O55,O7:O38)</f>
        <v>20</v>
      </c>
      <c r="P137" s="240"/>
      <c r="Q137" s="241">
        <f>COUNT(Q111,Q106:Q107,Q100:Q102,Q77:Q96,Q69,Q64:Q65,Q59:Q60,Q54:Q55,Q7:Q38)</f>
        <v>20</v>
      </c>
      <c r="R137" s="240"/>
      <c r="S137" s="241">
        <f>COUNT(S111,S106:S107,S100:S102,S77:S96,S69,S64:S65,S59:S60,S54:S55,S7:S38)</f>
        <v>17</v>
      </c>
      <c r="T137" s="240"/>
      <c r="U137" s="241">
        <f>COUNT(U111,U106:U107,U100:U102,U77:U96,U69,U64:U65,U59:U60,U54:U55,U7:U38)</f>
        <v>0</v>
      </c>
      <c r="V137" s="242">
        <f>C137+K137+O137+G137+Q137+M137+I137+E137+S137+U137</f>
        <v>212</v>
      </c>
      <c r="W137" s="7"/>
    </row>
    <row r="139" spans="1:23" hidden="1" x14ac:dyDescent="0.2">
      <c r="A139" s="7" t="s">
        <v>112</v>
      </c>
      <c r="C139" s="3">
        <v>6</v>
      </c>
      <c r="G139" s="5">
        <v>12</v>
      </c>
      <c r="I139" s="5">
        <v>6</v>
      </c>
      <c r="K139" s="5">
        <v>4</v>
      </c>
      <c r="M139" s="5">
        <v>8</v>
      </c>
      <c r="O139" s="5">
        <v>7</v>
      </c>
      <c r="Q139" s="5">
        <v>12</v>
      </c>
    </row>
    <row r="140" spans="1:23" hidden="1" x14ac:dyDescent="0.2">
      <c r="A140" s="7" t="s">
        <v>113</v>
      </c>
      <c r="C140" s="3">
        <v>9</v>
      </c>
      <c r="G140" s="5">
        <v>10</v>
      </c>
      <c r="I140" s="5">
        <v>13</v>
      </c>
      <c r="K140" s="5">
        <v>11</v>
      </c>
      <c r="M140" s="5">
        <v>6</v>
      </c>
      <c r="O140" s="5">
        <v>6</v>
      </c>
      <c r="Q140" s="5">
        <v>11</v>
      </c>
    </row>
    <row r="147" spans="16:16" x14ac:dyDescent="0.2">
      <c r="P147" s="51"/>
    </row>
    <row r="153" spans="16:16" ht="12" customHeight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</sheetData>
  <phoneticPr fontId="12" type="noConversion"/>
  <pageMargins left="0.64" right="0.19" top="0.47" bottom="0.3" header="0.36" footer="0.3"/>
  <pageSetup paperSize="9" scale="59" fitToHeight="0" orientation="landscape" horizontalDpi="4294967292" verticalDpi="4294967292" r:id="rId1"/>
  <headerFooter alignWithMargins="0"/>
  <rowBreaks count="1" manualBreakCount="1">
    <brk id="72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Q95"/>
  <sheetViews>
    <sheetView zoomScale="90" zoomScaleNormal="90" workbookViewId="0"/>
  </sheetViews>
  <sheetFormatPr defaultRowHeight="12.75" x14ac:dyDescent="0.2"/>
  <cols>
    <col min="1" max="1" width="9.140625" style="7"/>
    <col min="2" max="2" width="22.140625" style="7" customWidth="1"/>
    <col min="3" max="3" width="11" style="7" customWidth="1"/>
    <col min="4" max="4" width="10.140625" style="7" customWidth="1"/>
    <col min="5" max="5" width="11" style="7" customWidth="1"/>
    <col min="6" max="6" width="10.42578125" style="7" customWidth="1"/>
    <col min="7" max="7" width="11.42578125" style="7" bestFit="1" customWidth="1"/>
    <col min="8" max="8" width="11" style="7" customWidth="1"/>
    <col min="9" max="9" width="10.42578125" style="7" customWidth="1"/>
    <col min="10" max="10" width="11.7109375" style="7" customWidth="1"/>
    <col min="11" max="11" width="11.42578125" style="7" customWidth="1"/>
    <col min="12" max="12" width="11.42578125" style="6" customWidth="1"/>
    <col min="13" max="13" width="9.140625" style="7"/>
    <col min="14" max="14" width="9.140625" style="7" hidden="1" customWidth="1"/>
    <col min="15" max="15" width="10.42578125" style="7" customWidth="1"/>
    <col min="16" max="16" width="9.140625" style="7"/>
    <col min="17" max="17" width="9.5703125" style="7" bestFit="1" customWidth="1"/>
    <col min="18" max="16384" width="9.140625" style="7"/>
  </cols>
  <sheetData>
    <row r="1" spans="1:17" ht="30" x14ac:dyDescent="0.4">
      <c r="A1" s="1" t="s">
        <v>867</v>
      </c>
      <c r="B1" s="52"/>
      <c r="C1" s="53"/>
      <c r="E1" s="53"/>
      <c r="I1" s="53"/>
    </row>
    <row r="2" spans="1:17" x14ac:dyDescent="0.2">
      <c r="C2" s="53"/>
      <c r="E2" s="53"/>
      <c r="I2" s="53"/>
    </row>
    <row r="3" spans="1:17" ht="26.25" x14ac:dyDescent="0.25">
      <c r="A3" s="54" t="s">
        <v>24</v>
      </c>
      <c r="B3" s="55"/>
      <c r="C3" s="83" t="str">
        <f>Results!B3</f>
        <v>Jells Park</v>
      </c>
      <c r="D3" s="84" t="str">
        <f>Results!D3</f>
        <v>Wandin Park</v>
      </c>
      <c r="E3" s="84" t="str">
        <f>Results!F3</f>
        <v>Cruden Farm</v>
      </c>
      <c r="F3" s="84" t="str">
        <f>Results!H3</f>
        <v>Bundoora</v>
      </c>
      <c r="G3" s="84" t="str">
        <f>Results!J3</f>
        <v>Sandown</v>
      </c>
      <c r="H3" s="84" t="str">
        <f>Results!L3</f>
        <v>Albert Park</v>
      </c>
      <c r="I3" s="84" t="str">
        <f>Results!N3</f>
        <v>Ballarat</v>
      </c>
      <c r="J3" s="84" t="str">
        <f>Results!P3</f>
        <v>Anglesea</v>
      </c>
      <c r="K3" s="85" t="str">
        <f>Results!R3</f>
        <v>Burnley</v>
      </c>
      <c r="L3" s="86" t="str">
        <f>Results!T3</f>
        <v>Princes Park</v>
      </c>
      <c r="M3" s="56" t="s">
        <v>12</v>
      </c>
      <c r="N3" s="56" t="s">
        <v>20</v>
      </c>
      <c r="O3" s="56" t="s">
        <v>75</v>
      </c>
    </row>
    <row r="4" spans="1:17" x14ac:dyDescent="0.2">
      <c r="A4" s="57"/>
      <c r="B4" s="21"/>
      <c r="C4" s="58">
        <f>Results!B4</f>
        <v>42847</v>
      </c>
      <c r="D4" s="59">
        <f>Results!D4</f>
        <v>42868</v>
      </c>
      <c r="E4" s="59">
        <f>Results!F4</f>
        <v>42882</v>
      </c>
      <c r="F4" s="59">
        <f>Results!H4</f>
        <v>42903</v>
      </c>
      <c r="G4" s="59">
        <f>Results!J4</f>
        <v>42924</v>
      </c>
      <c r="H4" s="59">
        <f>Results!L4</f>
        <v>42932</v>
      </c>
      <c r="I4" s="59">
        <f>Results!N4</f>
        <v>42945</v>
      </c>
      <c r="J4" s="59">
        <f>Results!P4</f>
        <v>42959</v>
      </c>
      <c r="K4" s="59">
        <f>Results!R4</f>
        <v>42988</v>
      </c>
      <c r="L4" s="60">
        <f>Results!T4</f>
        <v>42994</v>
      </c>
      <c r="M4" s="18"/>
      <c r="N4" s="24">
        <f>COUNTIF(Results!B137:U137,"&gt;0")</f>
        <v>9</v>
      </c>
      <c r="O4" s="18"/>
    </row>
    <row r="5" spans="1:17" x14ac:dyDescent="0.2">
      <c r="A5" s="57"/>
      <c r="B5" s="21"/>
      <c r="C5" s="4"/>
      <c r="D5" s="4"/>
      <c r="E5" s="4"/>
      <c r="F5" s="4"/>
      <c r="G5" s="4"/>
      <c r="H5" s="4"/>
      <c r="I5" s="4"/>
      <c r="J5" s="29" t="s">
        <v>76</v>
      </c>
      <c r="K5" s="61"/>
      <c r="L5" s="49"/>
      <c r="M5" s="18"/>
      <c r="N5" s="50"/>
      <c r="O5" s="18"/>
    </row>
    <row r="6" spans="1:17" x14ac:dyDescent="0.2">
      <c r="A6" s="62"/>
      <c r="B6" s="63"/>
      <c r="C6" s="64"/>
      <c r="D6" s="64"/>
      <c r="E6" s="64"/>
      <c r="F6" s="64"/>
      <c r="G6" s="64"/>
      <c r="H6" s="64"/>
      <c r="I6" s="64"/>
      <c r="J6" s="69" t="str">
        <f>IF(ISNUMBER(LARGE((C6:I6,K6:L6),3)),(LARGE((C6:I6,K6:L6),1)+LARGE((C6:I6,K6:L6),2)+LARGE((C6:I6,K6:L6),3))/3,"")</f>
        <v/>
      </c>
      <c r="K6" s="65"/>
      <c r="L6" s="66"/>
      <c r="M6" s="67"/>
      <c r="N6" s="24"/>
      <c r="O6" s="67"/>
    </row>
    <row r="7" spans="1:17" x14ac:dyDescent="0.2">
      <c r="A7" s="68">
        <f>1</f>
        <v>1</v>
      </c>
      <c r="B7" s="213" t="str">
        <f>Results!A78</f>
        <v>Niamh O'Reilly</v>
      </c>
      <c r="C7" s="214">
        <f>IF(ISBLANK(Results!C78),"",ROUND((Results!C$97-Results!C78+1)/Results!C$97*100,2))</f>
        <v>75.48</v>
      </c>
      <c r="D7" s="335">
        <f>IF(ISBLANK(Results!E78),"",ROUND((Results!E$97-Results!E78+1)/Results!E$97*100,2))</f>
        <v>78.14</v>
      </c>
      <c r="E7" s="335">
        <f>IF(ISBLANK(Results!G78),"",ROUND((Results!G$97-Results!G78+1)/Results!G$97*100,2))</f>
        <v>80.819999999999993</v>
      </c>
      <c r="F7" s="215">
        <f>IF(ISBLANK(Results!I78),"",ROUND((Results!I$97-Results!I78+1)/Results!I$97*100,2))</f>
        <v>77.16</v>
      </c>
      <c r="G7" s="215">
        <f>IF(ISBLANK(Results!K78),"",ROUND((Results!K$97-Results!K78+1)/Results!K$97*100,2))</f>
        <v>77.69</v>
      </c>
      <c r="H7" s="335">
        <f>IF(ISBLANK(Results!M78),"",ROUND((Results!M$97-Results!M78+1)/Results!M$97*100,2))</f>
        <v>81.12</v>
      </c>
      <c r="I7" s="335">
        <f>IF(ISBLANK(Results!O78),"",ROUND((Results!O$97-Results!O78+1)/Results!O$97*100,2))</f>
        <v>83.45</v>
      </c>
      <c r="J7" s="69">
        <f>IF(ISNUMBER(LARGE((C7:I7,K7:L7),3)),(LARGE((C7:I7,K7:L7),1)+LARGE((C7:I7,K7:L7),2)+LARGE((C7:I7,K7:L7),3))/3,"")</f>
        <v>82.25333333333333</v>
      </c>
      <c r="K7" s="215">
        <f>IF(ISBLANK(Results!S78),"",ROUND((Results!S$97-Results!S78+1)/Results!S$97*100,2))</f>
        <v>82.19</v>
      </c>
      <c r="L7" s="215" t="str">
        <f>IF(ISBLANK(Results!U78),"",ROUND((Results!U$97-Results!U78+1)/Results!U$97*100,2))</f>
        <v/>
      </c>
      <c r="M7" s="70">
        <f t="shared" ref="M7:M38" si="0">SUM(C7:L7)</f>
        <v>718.30333333333328</v>
      </c>
      <c r="N7" s="70">
        <f t="shared" ref="N7:N38" si="1">LARGE(C7:L7,$N$4)</f>
        <v>75.48</v>
      </c>
      <c r="O7" s="70">
        <f t="shared" ref="O7:O38" si="2">IF(ISNUMBER(N7),M7-N7,M7)</f>
        <v>642.82333333333327</v>
      </c>
      <c r="Q7" s="53"/>
    </row>
    <row r="8" spans="1:17" x14ac:dyDescent="0.2">
      <c r="A8" s="68">
        <f t="shared" ref="A8:A55" si="3">1+A7</f>
        <v>2</v>
      </c>
      <c r="B8" s="213" t="str">
        <f>Results!A80</f>
        <v>Sally Lim</v>
      </c>
      <c r="C8" s="214">
        <f>IF(ISBLANK(Results!C80),"",ROUND((Results!C$97-Results!C80+1)/Results!C$97*100,2))</f>
        <v>48.28</v>
      </c>
      <c r="D8" s="215" t="str">
        <f>IF(ISBLANK(Results!E80),"",ROUND((Results!E$97-Results!E80+1)/Results!E$97*100,2))</f>
        <v/>
      </c>
      <c r="E8" s="335">
        <f>IF(ISBLANK(Results!G80),"",ROUND((Results!G$97-Results!G80+1)/Results!G$97*100,2))</f>
        <v>58.9</v>
      </c>
      <c r="F8" s="215">
        <f>IF(ISBLANK(Results!I80),"",ROUND((Results!I$97-Results!I80+1)/Results!I$97*100,2))</f>
        <v>54.82</v>
      </c>
      <c r="G8" s="335">
        <f>IF(ISBLANK(Results!K80),"",ROUND((Results!K$97-Results!K80+1)/Results!K$97*100,2))</f>
        <v>60.96</v>
      </c>
      <c r="H8" s="335">
        <f>IF(ISBLANK(Results!M80),"",ROUND((Results!M$97-Results!M80+1)/Results!M$97*100,2))</f>
        <v>63.27</v>
      </c>
      <c r="I8" s="335">
        <f>IF(ISBLANK(Results!O80),"",ROUND((Results!O$97-Results!O80+1)/Results!O$97*100,2))</f>
        <v>64.14</v>
      </c>
      <c r="J8" s="69">
        <f>IF(ISNUMBER(LARGE((C8:I8,K8:L8),3)),(LARGE((C8:I8,K8:L8),1)+LARGE((C8:I8,K8:L8),2)+LARGE((C8:I8,K8:L8),3))/3,"")</f>
        <v>65.756666666666675</v>
      </c>
      <c r="K8" s="215">
        <f>IF(ISBLANK(Results!S80),"",ROUND((Results!S$97-Results!S80+1)/Results!S$97*100,2))</f>
        <v>69.86</v>
      </c>
      <c r="L8" s="215" t="str">
        <f>IF(ISBLANK(Results!U80),"",ROUND((Results!U$97-Results!U80+1)/Results!U$97*100,2))</f>
        <v/>
      </c>
      <c r="M8" s="70">
        <f t="shared" si="0"/>
        <v>485.98666666666668</v>
      </c>
      <c r="N8" s="70" t="e">
        <f t="shared" si="1"/>
        <v>#NUM!</v>
      </c>
      <c r="O8" s="70">
        <f t="shared" si="2"/>
        <v>485.98666666666668</v>
      </c>
    </row>
    <row r="9" spans="1:17" x14ac:dyDescent="0.2">
      <c r="A9" s="68">
        <f t="shared" si="3"/>
        <v>3</v>
      </c>
      <c r="B9" s="213" t="str">
        <f>Results!A12</f>
        <v>Ewen Vowels</v>
      </c>
      <c r="C9" s="214">
        <f>IF(ISBLANK(Results!C12),"",ROUND((Results!C$51-Results!C12+1)/Results!C$51*100,2))</f>
        <v>58.63</v>
      </c>
      <c r="D9" s="335">
        <f>IF(ISBLANK(Results!E12),"",ROUND((Results!E$51-Results!E12+1)/Results!E$51*100,2))</f>
        <v>66.67</v>
      </c>
      <c r="E9" s="215">
        <f>IF(ISBLANK(Results!G12),"",ROUND((Results!G$51-Results!G12+1)/Results!G$51*100,2))</f>
        <v>67.790000000000006</v>
      </c>
      <c r="F9" s="215">
        <f>IF(ISBLANK(Results!I12),"",ROUND((Results!I$51-Results!I12+1)/Results!I$51*100,2))</f>
        <v>67.31</v>
      </c>
      <c r="G9" s="215" t="str">
        <f>IF(ISBLANK(Results!K12),"",ROUND((Results!K$51-Results!K12+1)/Results!K$51*100,2))</f>
        <v/>
      </c>
      <c r="H9" s="215">
        <f>IF(ISBLANK(Results!M12),"",ROUND((Results!M$51-Results!M12+1)/Results!M$51*100,2))</f>
        <v>65.819999999999993</v>
      </c>
      <c r="I9" s="215">
        <f>IF(ISBLANK(Results!O12),"",ROUND((Results!O$51-Results!O12+1)/Results!O$51*100,2))</f>
        <v>62.83</v>
      </c>
      <c r="J9" s="215"/>
      <c r="K9" s="335">
        <f>IF(ISBLANK(Results!S12),"",ROUND((Results!S$51-Results!S12+1)/Results!S$51*100,2))</f>
        <v>83.02</v>
      </c>
      <c r="L9" s="215" t="str">
        <f>IF(ISBLANK(Results!U12),"",ROUND((Results!U$51-Results!U12+1)/Results!U$51*100,2))</f>
        <v/>
      </c>
      <c r="M9" s="70">
        <f t="shared" si="0"/>
        <v>472.07</v>
      </c>
      <c r="N9" s="70" t="e">
        <f t="shared" si="1"/>
        <v>#NUM!</v>
      </c>
      <c r="O9" s="70">
        <f t="shared" si="2"/>
        <v>472.07</v>
      </c>
    </row>
    <row r="10" spans="1:17" x14ac:dyDescent="0.2">
      <c r="A10" s="68">
        <f t="shared" si="3"/>
        <v>4</v>
      </c>
      <c r="B10" s="213" t="str">
        <f>Results!A13</f>
        <v>Martin Spiteri</v>
      </c>
      <c r="C10" s="336">
        <f>IF(ISBLANK(Results!C13),"",ROUND((Results!C$51-Results!C13+1)/Results!C$51*100,2))</f>
        <v>64.19</v>
      </c>
      <c r="D10" s="215">
        <f>IF(ISBLANK(Results!E13),"",ROUND((Results!E$51-Results!E13+1)/Results!E$51*100,2))</f>
        <v>61.07</v>
      </c>
      <c r="E10" s="215">
        <f>IF(ISBLANK(Results!G13),"",ROUND((Results!G$51-Results!G13+1)/Results!G$51*100,2))</f>
        <v>60.5</v>
      </c>
      <c r="F10" s="215">
        <f>IF(ISBLANK(Results!I13),"",ROUND((Results!I$51-Results!I13+1)/Results!I$51*100,2))</f>
        <v>30.99</v>
      </c>
      <c r="G10" s="215" t="str">
        <f>IF(ISBLANK(Results!K13),"",ROUND((Results!K$51-Results!K13+1)/Results!K$51*100,2))</f>
        <v/>
      </c>
      <c r="H10" s="215">
        <f>IF(ISBLANK(Results!M13),"",ROUND((Results!M$51-Results!M13+1)/Results!M$51*100,2))</f>
        <v>53.93</v>
      </c>
      <c r="I10" s="215">
        <f>IF(ISBLANK(Results!O13),"",ROUND((Results!O$51-Results!O13+1)/Results!O$51*100,2))</f>
        <v>58.7</v>
      </c>
      <c r="J10" s="69">
        <f>IF(ISNUMBER(LARGE((C10:I10,K10:L10),3)),(LARGE((C10:I10,K10:L10),1)+LARGE((C10:I10,K10:L10),2)+LARGE((C10:I10,K10:L10),3))/3,"")</f>
        <v>63.04666666666666</v>
      </c>
      <c r="K10" s="335">
        <f>IF(ISBLANK(Results!S13),"",ROUND((Results!S$51-Results!S13+1)/Results!S$51*100,2))</f>
        <v>63.88</v>
      </c>
      <c r="L10" s="215" t="str">
        <f>IF(ISBLANK(Results!U13),"",ROUND((Results!U$51-Results!U13+1)/Results!U$51*100,2))</f>
        <v/>
      </c>
      <c r="M10" s="70">
        <f t="shared" si="0"/>
        <v>456.30666666666667</v>
      </c>
      <c r="N10" s="70" t="e">
        <f t="shared" si="1"/>
        <v>#NUM!</v>
      </c>
      <c r="O10" s="70">
        <f t="shared" si="2"/>
        <v>456.30666666666667</v>
      </c>
    </row>
    <row r="11" spans="1:17" x14ac:dyDescent="0.2">
      <c r="A11" s="68">
        <f t="shared" si="3"/>
        <v>5</v>
      </c>
      <c r="B11" s="213" t="str">
        <f>Results!A9</f>
        <v>James Atkinson</v>
      </c>
      <c r="C11" s="214">
        <f>IF(ISBLANK(Results!C9),"",ROUND((Results!C$51-Results!C9+1)/Results!C$51*100,2))</f>
        <v>78.849999999999994</v>
      </c>
      <c r="D11" s="215">
        <f>IF(ISBLANK(Results!E9),"",ROUND((Results!E$51-Results!E9+1)/Results!E$51*100,2))</f>
        <v>71.760000000000005</v>
      </c>
      <c r="E11" s="215">
        <f>IF(ISBLANK(Results!G9),"",ROUND((Results!G$51-Results!G9+1)/Results!G$51*100,2))</f>
        <v>68.91</v>
      </c>
      <c r="F11" s="215">
        <f>IF(ISBLANK(Results!I9),"",ROUND((Results!I$51-Results!I9+1)/Results!I$51*100,2))</f>
        <v>66.59</v>
      </c>
      <c r="G11" s="215">
        <f>IF(ISBLANK(Results!K9),"",ROUND((Results!K$51-Results!K9+1)/Results!K$51*100,2))</f>
        <v>67.36</v>
      </c>
      <c r="H11" s="215">
        <f>IF(ISBLANK(Results!M9),"",ROUND((Results!M$51-Results!M9+1)/Results!M$51*100,2))</f>
        <v>68.58</v>
      </c>
      <c r="I11" s="215" t="str">
        <f>IF(ISBLANK(Results!O9),"",ROUND((Results!O$51-Results!O9+1)/Results!O$51*100,2))</f>
        <v/>
      </c>
      <c r="J11" s="215"/>
      <c r="K11" s="215" t="str">
        <f>IF(ISBLANK(Results!S9),"",ROUND((Results!S$51-Results!S9+1)/Results!S$51*100,2))</f>
        <v/>
      </c>
      <c r="L11" s="215" t="str">
        <f>IF(ISBLANK(Results!U9),"",ROUND((Results!U$51-Results!U9+1)/Results!U$51*100,2))</f>
        <v/>
      </c>
      <c r="M11" s="70">
        <f t="shared" si="0"/>
        <v>422.05</v>
      </c>
      <c r="N11" s="70" t="e">
        <f t="shared" si="1"/>
        <v>#NUM!</v>
      </c>
      <c r="O11" s="70">
        <f t="shared" si="2"/>
        <v>422.05</v>
      </c>
    </row>
    <row r="12" spans="1:17" x14ac:dyDescent="0.2">
      <c r="A12" s="68">
        <f t="shared" si="3"/>
        <v>6</v>
      </c>
      <c r="B12" s="213" t="str">
        <f>Results!A54</f>
        <v>Cillian Jansen</v>
      </c>
      <c r="C12" s="214">
        <f>IF(ISBLANK(Results!C54),"",ROUND((Results!C$56-Results!C54+1)/Results!C$56*100,2))</f>
        <v>76.989999999999995</v>
      </c>
      <c r="D12" s="215">
        <f>IF(ISBLANK(Results!E54),"",ROUND((Results!E$56-Results!E54+1)/Results!E$56*100,2))</f>
        <v>58.62</v>
      </c>
      <c r="E12" s="215">
        <f>IF(ISBLANK(Results!G54),"",ROUND((Results!G$56-Results!G54+1)/Results!G$56*100,2))</f>
        <v>42.31</v>
      </c>
      <c r="F12" s="335">
        <f>IF(ISBLANK(Results!I54),"",ROUND((Results!I$56-Results!I54+1)/Results!I$56*100,2))</f>
        <v>63.64</v>
      </c>
      <c r="G12" s="335">
        <f>IF(ISBLANK(Results!K54),"",ROUND((Results!K$56-Results!K54+1)/Results!K$56*100,2))</f>
        <v>83.68</v>
      </c>
      <c r="H12" s="215" t="str">
        <f>IF(ISBLANK(Results!M54),"",ROUND((Results!M$56-Results!M54+1)/Results!M$56*100,2))</f>
        <v/>
      </c>
      <c r="I12" s="215" t="str">
        <f>IF(ISBLANK(Results!O54),"",ROUND((Results!O$56-Results!O54+1)/Results!O$56*100,2))</f>
        <v/>
      </c>
      <c r="J12" s="335">
        <f>IF(ISNUMBER(LARGE((C12:I12,K12:L12),3)),(LARGE((C12:I12,K12:L12),1)+LARGE((C12:I12,K12:L12),2)+LARGE((C12:I12,K12:L12),3))/3,"")</f>
        <v>74.77</v>
      </c>
      <c r="K12" s="215" t="str">
        <f>IF(ISBLANK(Results!S54),"",ROUND((Results!S$56-Results!S54+1)/Results!S$56*100,2))</f>
        <v/>
      </c>
      <c r="L12" s="215" t="str">
        <f>IF(ISBLANK(Results!U54),"",ROUND((Results!U$56-Results!U54+1)/Results!U$56*100,2))</f>
        <v/>
      </c>
      <c r="M12" s="70">
        <f t="shared" si="0"/>
        <v>400.01</v>
      </c>
      <c r="N12" s="70" t="e">
        <f t="shared" si="1"/>
        <v>#NUM!</v>
      </c>
      <c r="O12" s="70">
        <f t="shared" si="2"/>
        <v>400.01</v>
      </c>
    </row>
    <row r="13" spans="1:17" x14ac:dyDescent="0.2">
      <c r="A13" s="68">
        <f t="shared" si="3"/>
        <v>7</v>
      </c>
      <c r="B13" s="213" t="str">
        <f>Results!A7</f>
        <v>Steven Williams</v>
      </c>
      <c r="C13" s="214" t="str">
        <f>IF(ISBLANK(Results!C7),"",ROUND((Results!C$51-Results!C7+1)/Results!C$51*100,2))</f>
        <v/>
      </c>
      <c r="D13" s="215" t="str">
        <f>IF(ISBLANK(Results!E7),"",ROUND((Results!E$51-Results!E7+1)/Results!E$51*100,2))</f>
        <v/>
      </c>
      <c r="E13" s="335">
        <f>IF(ISBLANK(Results!G7),"",ROUND((Results!G$51-Results!G7+1)/Results!G$51*100,2))</f>
        <v>84.87</v>
      </c>
      <c r="F13" s="215">
        <f>IF(ISBLANK(Results!I7),"",ROUND((Results!I$51-Results!I7+1)/Results!I$51*100,2))</f>
        <v>81.84</v>
      </c>
      <c r="G13" s="215">
        <f>IF(ISBLANK(Results!K7),"",ROUND((Results!K$51-Results!K7+1)/Results!K$51*100,2))</f>
        <v>82.35</v>
      </c>
      <c r="H13" s="215">
        <f>IF(ISBLANK(Results!M7),"",ROUND((Results!M$51-Results!M7+1)/Results!M$51*100,2))</f>
        <v>71.97</v>
      </c>
      <c r="I13" s="215">
        <f>IF(ISBLANK(Results!O7),"",ROUND((Results!O$51-Results!O7+1)/Results!O$51*100,2))</f>
        <v>71.680000000000007</v>
      </c>
      <c r="J13" s="215"/>
      <c r="K13" s="215" t="str">
        <f>IF(ISBLANK(Results!S7),"",ROUND((Results!S$51-Results!S7+1)/Results!S$51*100,2))</f>
        <v/>
      </c>
      <c r="L13" s="215" t="str">
        <f>IF(ISBLANK(Results!U7),"",ROUND((Results!U$51-Results!U7+1)/Results!U$51*100,2))</f>
        <v/>
      </c>
      <c r="M13" s="70">
        <f t="shared" si="0"/>
        <v>392.71</v>
      </c>
      <c r="N13" s="70" t="e">
        <f t="shared" si="1"/>
        <v>#NUM!</v>
      </c>
      <c r="O13" s="70">
        <f t="shared" si="2"/>
        <v>392.71</v>
      </c>
    </row>
    <row r="14" spans="1:17" x14ac:dyDescent="0.2">
      <c r="A14" s="68">
        <f t="shared" si="3"/>
        <v>8</v>
      </c>
      <c r="B14" s="213" t="str">
        <f>Results!A106</f>
        <v>Tess Mitchell</v>
      </c>
      <c r="C14" s="336">
        <f>IF(ISBLANK(Results!C106),"",ROUND((Results!C$108-Results!C106+1)/Results!C$108*100,2))</f>
        <v>58.33</v>
      </c>
      <c r="D14" s="335">
        <f>IF(ISBLANK(Results!E106),"",ROUND((Results!E$108-Results!E106+1)/Results!E$108*100,2))</f>
        <v>64.709999999999994</v>
      </c>
      <c r="E14" s="215">
        <f>IF(ISBLANK(Results!G106),"",ROUND((Results!G$108-Results!G106+1)/Results!G$108*100,2))</f>
        <v>58.33</v>
      </c>
      <c r="F14" s="215" t="str">
        <f>IF(ISBLANK(Results!I106),"",ROUND((Results!I$108-Results!I106+1)/Results!I$108*100,2))</f>
        <v/>
      </c>
      <c r="G14" s="215" t="str">
        <f>IF(ISBLANK(Results!K106),"",ROUND((Results!K$108-Results!K106+1)/Results!K$108*100,2))</f>
        <v/>
      </c>
      <c r="H14" s="335">
        <f>IF(ISBLANK(Results!M106),"",ROUND((Results!M$108-Results!M106+1)/Results!M$108*100,2))</f>
        <v>68.42</v>
      </c>
      <c r="I14" s="215">
        <f>IF(ISBLANK(Results!O106),"",ROUND((Results!O$108-Results!O106+1)/Results!O$108*100,2))</f>
        <v>60</v>
      </c>
      <c r="J14" s="335">
        <f>IF(ISNUMBER(LARGE((C14:I14,K14:L14),3)),(LARGE((C14:I14,K14:L14),1)+LARGE((C14:I14,K14:L14),2)+LARGE((C14:I14,K14:L14),3))/3,"")</f>
        <v>64.376666666666665</v>
      </c>
      <c r="K14" s="215" t="str">
        <f>IF(ISBLANK(Results!S106),"",ROUND((Results!S$108-Results!S106+1)/Results!S$108*100,2))</f>
        <v/>
      </c>
      <c r="L14" s="215" t="str">
        <f>IF(ISBLANK(Results!U106),"",ROUND((Results!U$108-Results!U106+1)/Results!U$108*100,2))</f>
        <v/>
      </c>
      <c r="M14" s="70">
        <f t="shared" si="0"/>
        <v>374.16666666666669</v>
      </c>
      <c r="N14" s="70" t="e">
        <f t="shared" si="1"/>
        <v>#NUM!</v>
      </c>
      <c r="O14" s="70">
        <f t="shared" si="2"/>
        <v>374.16666666666669</v>
      </c>
    </row>
    <row r="15" spans="1:17" x14ac:dyDescent="0.2">
      <c r="A15" s="68">
        <f t="shared" si="3"/>
        <v>9</v>
      </c>
      <c r="B15" s="213" t="str">
        <f>Results!A22</f>
        <v>Michael Harvey</v>
      </c>
      <c r="C15" s="214">
        <f>IF(ISBLANK(Results!C22),"",ROUND((Results!C$51-Results!C22+1)/Results!C$51*100,2))</f>
        <v>39.89</v>
      </c>
      <c r="D15" s="335">
        <f>IF(ISBLANK(Results!E22),"",ROUND((Results!E$51-Results!E22+1)/Results!E$51*100,2))</f>
        <v>44.02</v>
      </c>
      <c r="E15" s="215">
        <f>IF(ISBLANK(Results!G22),"",ROUND((Results!G$51-Results!G22+1)/Results!G$51*100,2))</f>
        <v>43.7</v>
      </c>
      <c r="F15" s="215">
        <f>IF(ISBLANK(Results!I22),"",ROUND((Results!I$51-Results!I22+1)/Results!I$51*100,2))</f>
        <v>36.56</v>
      </c>
      <c r="G15" s="215">
        <f>IF(ISBLANK(Results!K22),"",ROUND((Results!K$51-Results!K22+1)/Results!K$51*100,2))</f>
        <v>40.229999999999997</v>
      </c>
      <c r="H15" s="215">
        <f>IF(ISBLANK(Results!M22),"",ROUND((Results!M$51-Results!M22+1)/Results!M$51*100,2))</f>
        <v>35.03</v>
      </c>
      <c r="I15" s="215">
        <f>IF(ISBLANK(Results!O22),"",ROUND((Results!O$51-Results!O22+1)/Results!O$51*100,2))</f>
        <v>40.409999999999997</v>
      </c>
      <c r="J15" s="69">
        <f>IF(ISNUMBER(LARGE((C15:I15,K15:L15),3)),(LARGE((C15:I15,K15:L15),1)+LARGE((C15:I15,K15:L15),2)+LARGE((C15:I15,K15:L15),3))/3,"")</f>
        <v>43.436666666666667</v>
      </c>
      <c r="K15" s="215">
        <f>IF(ISBLANK(Results!S22),"",ROUND((Results!S$51-Results!S22+1)/Results!S$51*100,2))</f>
        <v>42.59</v>
      </c>
      <c r="L15" s="215" t="str">
        <f>IF(ISBLANK(Results!U22),"",ROUND((Results!U$51-Results!U22+1)/Results!U$51*100,2))</f>
        <v/>
      </c>
      <c r="M15" s="70">
        <f t="shared" si="0"/>
        <v>365.86666666666667</v>
      </c>
      <c r="N15" s="70">
        <f t="shared" si="1"/>
        <v>35.03</v>
      </c>
      <c r="O15" s="70">
        <f t="shared" si="2"/>
        <v>330.8366666666667</v>
      </c>
    </row>
    <row r="16" spans="1:17" x14ac:dyDescent="0.2">
      <c r="A16" s="68">
        <f t="shared" si="3"/>
        <v>10</v>
      </c>
      <c r="B16" s="213" t="str">
        <f>Results!A17</f>
        <v>Glenn Carroll</v>
      </c>
      <c r="C16" s="214">
        <f>IF(ISBLANK(Results!C17),"",ROUND((Results!C$51-Results!C17+1)/Results!C$51*100,2))</f>
        <v>50.09</v>
      </c>
      <c r="D16" s="215">
        <f>IF(ISBLANK(Results!E17),"",ROUND((Results!E$51-Results!E17+1)/Results!E$51*100,2))</f>
        <v>48.6</v>
      </c>
      <c r="E16" s="215">
        <f>IF(ISBLANK(Results!G17),"",ROUND((Results!G$51-Results!G17+1)/Results!G$51*100,2))</f>
        <v>47.34</v>
      </c>
      <c r="F16" s="215" t="str">
        <f>IF(ISBLANK(Results!I17),"",ROUND((Results!I$51-Results!I17+1)/Results!I$51*100,2))</f>
        <v/>
      </c>
      <c r="G16" s="215" t="str">
        <f>IF(ISBLANK(Results!K17),"",ROUND((Results!K$51-Results!K17+1)/Results!K$51*100,2))</f>
        <v/>
      </c>
      <c r="H16" s="215">
        <f>IF(ISBLANK(Results!M17),"",ROUND((Results!M$51-Results!M17+1)/Results!M$51*100,2))</f>
        <v>45.44</v>
      </c>
      <c r="I16" s="215">
        <f>IF(ISBLANK(Results!O17),"",ROUND((Results!O$51-Results!O17+1)/Results!O$51*100,2))</f>
        <v>46.9</v>
      </c>
      <c r="J16" s="69">
        <f>IF(ISNUMBER(LARGE((C16:I16,K16:L16),3)),(LARGE((C16:I16,K16:L16),1)+LARGE((C16:I16,K16:L16),2)+LARGE((C16:I16,K16:L16),3))/3,"")</f>
        <v>48.676666666666669</v>
      </c>
      <c r="K16" s="215">
        <f>IF(ISBLANK(Results!S17),"",ROUND((Results!S$51-Results!S17+1)/Results!S$51*100,2))</f>
        <v>32.61</v>
      </c>
      <c r="L16" s="215" t="str">
        <f>IF(ISBLANK(Results!U17),"",ROUND((Results!U$51-Results!U17+1)/Results!U$51*100,2))</f>
        <v/>
      </c>
      <c r="M16" s="70">
        <f t="shared" si="0"/>
        <v>319.65666666666669</v>
      </c>
      <c r="N16" s="70" t="e">
        <f t="shared" si="1"/>
        <v>#NUM!</v>
      </c>
      <c r="O16" s="70">
        <f t="shared" si="2"/>
        <v>319.65666666666669</v>
      </c>
    </row>
    <row r="17" spans="1:17" x14ac:dyDescent="0.2">
      <c r="A17" s="68">
        <f t="shared" si="3"/>
        <v>11</v>
      </c>
      <c r="B17" s="213" t="str">
        <f>Results!A18</f>
        <v>Ernie Lim</v>
      </c>
      <c r="C17" s="214" t="str">
        <f>IF(ISBLANK(Results!C18),"",ROUND((Results!C$51-Results!C18+1)/Results!C$51*100,2))</f>
        <v/>
      </c>
      <c r="D17" s="215" t="str">
        <f>IF(ISBLANK(Results!E18),"",ROUND((Results!E$51-Results!E18+1)/Results!E$51*100,2))</f>
        <v/>
      </c>
      <c r="E17" s="215" t="str">
        <f>IF(ISBLANK(Results!G18),"",ROUND((Results!G$51-Results!G18+1)/Results!G$51*100,2))</f>
        <v/>
      </c>
      <c r="F17" s="344">
        <f>IF(ISBLANK(Results!I18),"",ROUND((Results!I$51-Results!I18+1)/Results!I$51*100,2))</f>
        <v>49.39</v>
      </c>
      <c r="G17" s="335">
        <f>IF(ISBLANK(Results!K18),"",ROUND((Results!K$51-Results!K18+1)/Results!K$51*100,2))</f>
        <v>53.89</v>
      </c>
      <c r="H17" s="215">
        <f>IF(ISBLANK(Results!M18),"",ROUND((Results!M$51-Results!M18+1)/Results!M$51*100,2))</f>
        <v>49.68</v>
      </c>
      <c r="I17" s="215">
        <f>IF(ISBLANK(Results!O18),"",ROUND((Results!O$51-Results!O18+1)/Results!O$51*100,2))</f>
        <v>53.1</v>
      </c>
      <c r="J17" s="69">
        <f>IF(ISNUMBER(LARGE((C17:I17,K17:L17),3)),(LARGE((C17:I17,K17:L17),1)+LARGE((C17:I17,K17:L17),2)+LARGE((C17:I17,K17:L17),3))/3,"")</f>
        <v>54.35</v>
      </c>
      <c r="K17" s="335">
        <f>IF(ISBLANK(Results!S18),"",ROUND((Results!S$51-Results!S18+1)/Results!S$51*100,2))</f>
        <v>56.06</v>
      </c>
      <c r="L17" s="215" t="str">
        <f>IF(ISBLANK(Results!U18),"",ROUND((Results!U$51-Results!U18+1)/Results!U$51*100,2))</f>
        <v/>
      </c>
      <c r="M17" s="70">
        <f t="shared" si="0"/>
        <v>316.47000000000003</v>
      </c>
      <c r="N17" s="70" t="e">
        <f t="shared" si="1"/>
        <v>#NUM!</v>
      </c>
      <c r="O17" s="70">
        <f t="shared" si="2"/>
        <v>316.47000000000003</v>
      </c>
    </row>
    <row r="18" spans="1:17" x14ac:dyDescent="0.2">
      <c r="A18" s="68">
        <f t="shared" si="3"/>
        <v>12</v>
      </c>
      <c r="B18" s="213" t="str">
        <f>Results!A10</f>
        <v>Shane Fielding</v>
      </c>
      <c r="C18" s="214" t="str">
        <f>IF(ISBLANK(Results!C10),"",ROUND((Results!C$51-Results!C10+1)/Results!C$51*100,2))</f>
        <v/>
      </c>
      <c r="D18" s="215">
        <f>IF(ISBLANK(Results!E10),"",ROUND((Results!E$51-Results!E10+1)/Results!E$51*100,2))</f>
        <v>46.06</v>
      </c>
      <c r="E18" s="215" t="str">
        <f>IF(ISBLANK(Results!G10),"",ROUND((Results!G$51-Results!G10+1)/Results!G$51*100,2))</f>
        <v/>
      </c>
      <c r="F18" s="215" t="str">
        <f>IF(ISBLANK(Results!I10),"",ROUND((Results!I$51-Results!I10+1)/Results!I$51*100,2))</f>
        <v/>
      </c>
      <c r="G18" s="335">
        <f>IF(ISBLANK(Results!K10),"",ROUND((Results!K$51-Results!K10+1)/Results!K$51*100,2))</f>
        <v>57.31</v>
      </c>
      <c r="H18" s="215">
        <f>IF(ISBLANK(Results!M10),"",ROUND((Results!M$51-Results!M10+1)/Results!M$51*100,2))</f>
        <v>52.65</v>
      </c>
      <c r="I18" s="335">
        <f>IF(ISBLANK(Results!O10),"",ROUND((Results!O$51-Results!O10+1)/Results!O$51*100,2))</f>
        <v>59.29</v>
      </c>
      <c r="J18" s="215"/>
      <c r="K18" s="335">
        <f>IF(ISBLANK(Results!S10),"",ROUND((Results!S$51-Results!S10+1)/Results!S$51*100,2))</f>
        <v>71.430000000000007</v>
      </c>
      <c r="L18" s="215" t="str">
        <f>IF(ISBLANK(Results!U10),"",ROUND((Results!U$51-Results!U10+1)/Results!U$51*100,2))</f>
        <v/>
      </c>
      <c r="M18" s="70">
        <f t="shared" si="0"/>
        <v>286.74</v>
      </c>
      <c r="N18" s="70" t="e">
        <f t="shared" si="1"/>
        <v>#NUM!</v>
      </c>
      <c r="O18" s="70">
        <f t="shared" si="2"/>
        <v>286.74</v>
      </c>
    </row>
    <row r="19" spans="1:17" x14ac:dyDescent="0.2">
      <c r="A19" s="68">
        <f t="shared" si="3"/>
        <v>13</v>
      </c>
      <c r="B19" s="213" t="str">
        <f>Results!A82</f>
        <v>Janice Marston</v>
      </c>
      <c r="C19" s="214">
        <f>IF(ISBLANK(Results!C82),"",ROUND((Results!C$97-Results!C82+1)/Results!C$97*100,2))</f>
        <v>32.57</v>
      </c>
      <c r="D19" s="335">
        <f>IF(ISBLANK(Results!E82),"",ROUND((Results!E$97-Results!E82+1)/Results!E$97*100,2))</f>
        <v>38.6</v>
      </c>
      <c r="E19" s="215">
        <f>IF(ISBLANK(Results!G82),"",ROUND((Results!G$97-Results!G82+1)/Results!G$97*100,2))</f>
        <v>38.36</v>
      </c>
      <c r="F19" s="215">
        <f>IF(ISBLANK(Results!I82),"",ROUND((Results!I$97-Results!I82+1)/Results!I$97*100,2))</f>
        <v>37.56</v>
      </c>
      <c r="G19" s="215">
        <f>IF(ISBLANK(Results!K82),"",ROUND((Results!K$97-Results!K82+1)/Results!K$97*100,2))</f>
        <v>27.89</v>
      </c>
      <c r="H19" s="215">
        <f>IF(ISBLANK(Results!M82),"",ROUND((Results!M$97-Results!M82+1)/Results!M$97*100,2))</f>
        <v>28.06</v>
      </c>
      <c r="I19" s="215">
        <f>IF(ISBLANK(Results!O82),"",ROUND((Results!O$97-Results!O82+1)/Results!O$97*100,2))</f>
        <v>35.86</v>
      </c>
      <c r="J19" s="69">
        <f>IF(ISNUMBER(LARGE((C19:I19,K19:L19),3)),(LARGE((C19:I19,K19:L19),1)+LARGE((C19:I19,K19:L19),2)+LARGE((C19:I19,K19:L19),3))/3,"")</f>
        <v>38.173333333333339</v>
      </c>
      <c r="K19" s="215">
        <f>IF(ISBLANK(Results!S82),"",ROUND((Results!S$97-Results!S82+1)/Results!S$97*100,2))</f>
        <v>31.51</v>
      </c>
      <c r="L19" s="215" t="str">
        <f>IF(ISBLANK(Results!U82),"",ROUND((Results!U$97-Results!U82+1)/Results!U$97*100,2))</f>
        <v/>
      </c>
      <c r="M19" s="70">
        <f t="shared" si="0"/>
        <v>308.58333333333337</v>
      </c>
      <c r="N19" s="70">
        <f t="shared" si="1"/>
        <v>27.89</v>
      </c>
      <c r="O19" s="70">
        <f t="shared" si="2"/>
        <v>280.69333333333338</v>
      </c>
    </row>
    <row r="20" spans="1:17" x14ac:dyDescent="0.2">
      <c r="A20" s="68">
        <f t="shared" si="3"/>
        <v>14</v>
      </c>
      <c r="B20" s="213" t="str">
        <f>Results!A79</f>
        <v>Justine White</v>
      </c>
      <c r="C20" s="336">
        <f>IF(ISBLANK(Results!C79),"",ROUND((Results!C$97-Results!C79+1)/Results!C$97*100,2))</f>
        <v>59.77</v>
      </c>
      <c r="D20" s="215">
        <f>IF(ISBLANK(Results!E79),"",ROUND((Results!E$97-Results!E79+1)/Results!E$97*100,2))</f>
        <v>46.98</v>
      </c>
      <c r="E20" s="215">
        <f>IF(ISBLANK(Results!G79),"",ROUND((Results!G$97-Results!G79+1)/Results!G$97*100,2))</f>
        <v>42.47</v>
      </c>
      <c r="F20" s="215" t="str">
        <f>IF(ISBLANK(Results!I79),"",ROUND((Results!I$97-Results!I79+1)/Results!I$97*100,2))</f>
        <v/>
      </c>
      <c r="G20" s="215">
        <f>IF(ISBLANK(Results!K79),"",ROUND((Results!K$97-Results!K79+1)/Results!K$97*100,2))</f>
        <v>40.64</v>
      </c>
      <c r="H20" s="215">
        <f>IF(ISBLANK(Results!M79),"",ROUND((Results!M$97-Results!M79+1)/Results!M$97*100,2))</f>
        <v>31.63</v>
      </c>
      <c r="I20" s="215" t="str">
        <f>IF(ISBLANK(Results!O79),"",ROUND((Results!O$97-Results!O79+1)/Results!O$97*100,2))</f>
        <v/>
      </c>
      <c r="J20" s="69">
        <f>IF(ISNUMBER(LARGE((C20:I20,K20:L20),3)),(LARGE((C20:I20,K20:L20),1)+LARGE((C20:I20,K20:L20),2)+LARGE((C20:I20,K20:L20),3))/3,"")</f>
        <v>49.74</v>
      </c>
      <c r="K20" s="215" t="str">
        <f>IF(ISBLANK(Results!S79),"",ROUND((Results!S$97-Results!S79+1)/Results!S$97*100,2))</f>
        <v/>
      </c>
      <c r="L20" s="215" t="str">
        <f>IF(ISBLANK(Results!U79),"",ROUND((Results!U$97-Results!U79+1)/Results!U$97*100,2))</f>
        <v/>
      </c>
      <c r="M20" s="70">
        <f t="shared" si="0"/>
        <v>271.23</v>
      </c>
      <c r="N20" s="70" t="e">
        <f t="shared" si="1"/>
        <v>#NUM!</v>
      </c>
      <c r="O20" s="70">
        <f t="shared" si="2"/>
        <v>271.23</v>
      </c>
    </row>
    <row r="21" spans="1:17" x14ac:dyDescent="0.2">
      <c r="A21" s="68">
        <f t="shared" si="3"/>
        <v>15</v>
      </c>
      <c r="B21" s="213" t="str">
        <f>Results!A14</f>
        <v>Tony George</v>
      </c>
      <c r="C21" s="214" t="str">
        <f>IF(ISBLANK(Results!C14),"",ROUND((Results!C$51-Results!C14+1)/Results!C$51*100,2))</f>
        <v/>
      </c>
      <c r="D21" s="215" t="str">
        <f>IF(ISBLANK(Results!E14),"",ROUND((Results!E$51-Results!E14+1)/Results!E$51*100,2))</f>
        <v/>
      </c>
      <c r="E21" s="215">
        <f>IF(ISBLANK(Results!G14),"",ROUND((Results!G$51-Results!G14+1)/Results!G$51*100,2))</f>
        <v>59.38</v>
      </c>
      <c r="F21" s="335">
        <f>IF(ISBLANK(Results!I14),"",ROUND((Results!I$51-Results!I14+1)/Results!I$51*100,2))</f>
        <v>60.05</v>
      </c>
      <c r="G21" s="335">
        <f>IF(ISBLANK(Results!K14),"",ROUND((Results!K$51-Results!K14+1)/Results!K$51*100,2))</f>
        <v>62.24</v>
      </c>
      <c r="H21" s="215" t="str">
        <f>IF(ISBLANK(Results!M14),"",ROUND((Results!M$51-Results!M14+1)/Results!M$51*100,2))</f>
        <v/>
      </c>
      <c r="I21" s="215" t="str">
        <f>IF(ISBLANK(Results!O14),"",ROUND((Results!O$51-Results!O14+1)/Results!O$51*100,2))</f>
        <v/>
      </c>
      <c r="J21" s="69">
        <f>IF(ISNUMBER(LARGE((C21:I21,K21:L21),3)),(LARGE((C21:I21,K21:L21),1)+LARGE((C21:I21,K21:L21),2)+LARGE((C21:I21,K21:L21),3))/3,"")</f>
        <v>60.556666666666665</v>
      </c>
      <c r="K21" s="215" t="str">
        <f>IF(ISBLANK(Results!S14),"",ROUND((Results!S$51-Results!S14+1)/Results!S$51*100,2))</f>
        <v/>
      </c>
      <c r="L21" s="215" t="str">
        <f>IF(ISBLANK(Results!U14),"",ROUND((Results!U$51-Results!U14+1)/Results!U$51*100,2))</f>
        <v/>
      </c>
      <c r="M21" s="70">
        <f t="shared" si="0"/>
        <v>242.22666666666669</v>
      </c>
      <c r="N21" s="70" t="e">
        <f t="shared" si="1"/>
        <v>#NUM!</v>
      </c>
      <c r="O21" s="70">
        <f t="shared" si="2"/>
        <v>242.22666666666669</v>
      </c>
    </row>
    <row r="22" spans="1:17" x14ac:dyDescent="0.2">
      <c r="A22" s="68">
        <f t="shared" si="3"/>
        <v>16</v>
      </c>
      <c r="B22" s="213" t="str">
        <f>Results!A77</f>
        <v>Kirsten Jackson</v>
      </c>
      <c r="C22" s="214" t="str">
        <f>IF(ISBLANK(Results!C77),"",ROUND((Results!C$97-Results!C77+1)/Results!C$97*100,2))</f>
        <v/>
      </c>
      <c r="D22" s="215" t="str">
        <f>IF(ISBLANK(Results!E77),"",ROUND((Results!E$97-Results!E77+1)/Results!E$97*100,2))</f>
        <v/>
      </c>
      <c r="E22" s="215" t="str">
        <f>IF(ISBLANK(Results!G77),"",ROUND((Results!G$97-Results!G77+1)/Results!G$97*100,2))</f>
        <v/>
      </c>
      <c r="F22" s="215" t="str">
        <f>IF(ISBLANK(Results!I77),"",ROUND((Results!I$97-Results!I77+1)/Results!I$97*100,2))</f>
        <v/>
      </c>
      <c r="G22" s="215">
        <f>IF(ISBLANK(Results!K77),"",ROUND((Results!K$97-Results!K77+1)/Results!K$97*100,2))</f>
        <v>71.709999999999994</v>
      </c>
      <c r="H22" s="215" t="str">
        <f>IF(ISBLANK(Results!M77),"",ROUND((Results!M$97-Results!M77+1)/Results!M$97*100,2))</f>
        <v/>
      </c>
      <c r="I22" s="335">
        <f>IF(ISBLANK(Results!O77),"",ROUND((Results!O$97-Results!O77+1)/Results!O$97*100,2))</f>
        <v>79.31</v>
      </c>
      <c r="J22" s="215"/>
      <c r="K22" s="335">
        <f>IF(ISBLANK(Results!S77),"",ROUND((Results!S$97-Results!S77+1)/Results!S$97*100,2))</f>
        <v>86.99</v>
      </c>
      <c r="L22" s="215" t="str">
        <f>IF(ISBLANK(Results!U77),"",ROUND((Results!U$97-Results!U77+1)/Results!U$97*100,2))</f>
        <v/>
      </c>
      <c r="M22" s="70">
        <f t="shared" si="0"/>
        <v>238.01</v>
      </c>
      <c r="N22" s="70" t="e">
        <f t="shared" si="1"/>
        <v>#NUM!</v>
      </c>
      <c r="O22" s="70">
        <f t="shared" si="2"/>
        <v>238.01</v>
      </c>
    </row>
    <row r="23" spans="1:17" x14ac:dyDescent="0.2">
      <c r="A23" s="68">
        <f t="shared" si="3"/>
        <v>17</v>
      </c>
      <c r="B23" s="213" t="str">
        <f>Results!A8</f>
        <v>Stephen Paine</v>
      </c>
      <c r="C23" s="214">
        <f>IF(ISBLANK(Results!C8),"",ROUND((Results!C$51-Results!C8+1)/Results!C$51*100,2))</f>
        <v>74.58</v>
      </c>
      <c r="D23" s="215" t="str">
        <f>IF(ISBLANK(Results!E8),"",ROUND((Results!E$51-Results!E8+1)/Results!E$51*100,2))</f>
        <v/>
      </c>
      <c r="E23" s="335">
        <f>IF(ISBLANK(Results!G8),"",ROUND((Results!G$51-Results!G8+1)/Results!G$51*100,2))</f>
        <v>76.47</v>
      </c>
      <c r="F23" s="215" t="str">
        <f>IF(ISBLANK(Results!I8),"",ROUND((Results!I$51-Results!I8+1)/Results!I$51*100,2))</f>
        <v/>
      </c>
      <c r="G23" s="215" t="str">
        <f>IF(ISBLANK(Results!K8),"",ROUND((Results!K$51-Results!K8+1)/Results!K$51*100,2))</f>
        <v/>
      </c>
      <c r="H23" s="215" t="str">
        <f>IF(ISBLANK(Results!M8),"",ROUND((Results!M$51-Results!M8+1)/Results!M$51*100,2))</f>
        <v/>
      </c>
      <c r="I23" s="215" t="str">
        <f>IF(ISBLANK(Results!O8),"",ROUND((Results!O$51-Results!O8+1)/Results!O$51*100,2))</f>
        <v/>
      </c>
      <c r="J23" s="215"/>
      <c r="K23" s="215">
        <f>IF(ISBLANK(Results!S8),"",ROUND((Results!S$51-Results!S8+1)/Results!S$51*100,2))</f>
        <v>67.12</v>
      </c>
      <c r="L23" s="215" t="str">
        <f>IF(ISBLANK(Results!U8),"",ROUND((Results!U$51-Results!U8+1)/Results!U$51*100,2))</f>
        <v/>
      </c>
      <c r="M23" s="70">
        <f t="shared" si="0"/>
        <v>218.17000000000002</v>
      </c>
      <c r="N23" s="70" t="e">
        <f t="shared" si="1"/>
        <v>#NUM!</v>
      </c>
      <c r="O23" s="70">
        <f t="shared" si="2"/>
        <v>218.17000000000002</v>
      </c>
    </row>
    <row r="24" spans="1:17" x14ac:dyDescent="0.2">
      <c r="A24" s="68">
        <f t="shared" si="3"/>
        <v>18</v>
      </c>
      <c r="B24" s="213" t="str">
        <f>Results!A84</f>
        <v>Lizzy Holst</v>
      </c>
      <c r="C24" s="214">
        <f>IF(ISBLANK(Results!C84),"",ROUND((Results!C$97-Results!C84+1)/Results!C$97*100,2))</f>
        <v>18.77</v>
      </c>
      <c r="D24" s="215">
        <f>IF(ISBLANK(Results!E84),"",ROUND((Results!E$97-Results!E84+1)/Results!E$97*100,2))</f>
        <v>20.47</v>
      </c>
      <c r="E24" s="335">
        <f>IF(ISBLANK(Results!G84),"",ROUND((Results!G$97-Results!G84+1)/Results!G$97*100,2))</f>
        <v>31.51</v>
      </c>
      <c r="F24" s="215">
        <f>IF(ISBLANK(Results!I84),"",ROUND((Results!I$97-Results!I84+1)/Results!I$97*100,2))</f>
        <v>29.44</v>
      </c>
      <c r="G24" s="215" t="str">
        <f>IF(ISBLANK(Results!K84),"",ROUND((Results!K$97-Results!K84+1)/Results!K$97*100,2))</f>
        <v/>
      </c>
      <c r="H24" s="215" t="str">
        <f>IF(ISBLANK(Results!M84),"",ROUND((Results!M$97-Results!M84+1)/Results!M$97*100,2))</f>
        <v/>
      </c>
      <c r="I24" s="215">
        <f>IF(ISBLANK(Results!O84),"",ROUND((Results!O$97-Results!O84+1)/Results!O$97*100,2))</f>
        <v>29.66</v>
      </c>
      <c r="J24" s="69">
        <f>IF(ISNUMBER(LARGE((C24:I24,K24:L24),3)),(LARGE((C24:I24,K24:L24),1)+LARGE((C24:I24,K24:L24),2)+LARGE((C24:I24,K24:L24),3))/3,"")</f>
        <v>33.403333333333329</v>
      </c>
      <c r="K24" s="335">
        <f>IF(ISBLANK(Results!S84),"",ROUND((Results!S$97-Results!S84+1)/Results!S$97*100,2))</f>
        <v>39.04</v>
      </c>
      <c r="L24" s="215" t="str">
        <f>IF(ISBLANK(Results!U84),"",ROUND((Results!U$97-Results!U84+1)/Results!U$97*100,2))</f>
        <v/>
      </c>
      <c r="M24" s="70">
        <f t="shared" si="0"/>
        <v>202.29333333333332</v>
      </c>
      <c r="N24" s="70" t="e">
        <f t="shared" si="1"/>
        <v>#NUM!</v>
      </c>
      <c r="O24" s="70">
        <f t="shared" si="2"/>
        <v>202.29333333333332</v>
      </c>
    </row>
    <row r="25" spans="1:17" x14ac:dyDescent="0.2">
      <c r="A25" s="68">
        <f t="shared" si="3"/>
        <v>19</v>
      </c>
      <c r="B25" s="213" t="str">
        <f>Results!A27</f>
        <v>Robert Carstairs</v>
      </c>
      <c r="C25" s="214">
        <f>IF(ISBLANK(Results!C27),"",ROUND((Results!C$51-Results!C27+1)/Results!C$51*100,2))</f>
        <v>24.3</v>
      </c>
      <c r="D25" s="215" t="str">
        <f>IF(ISBLANK(Results!E27),"",ROUND((Results!E$51-Results!E27+1)/Results!E$51*100,2))</f>
        <v/>
      </c>
      <c r="E25" s="215" t="str">
        <f>IF(ISBLANK(Results!G27),"",ROUND((Results!G$51-Results!G27+1)/Results!G$51*100,2))</f>
        <v/>
      </c>
      <c r="F25" s="215">
        <f>IF(ISBLANK(Results!I27),"",ROUND((Results!I$51-Results!I27+1)/Results!I$51*100,2))</f>
        <v>19.61</v>
      </c>
      <c r="G25" s="335">
        <f>IF(ISBLANK(Results!K27),"",ROUND((Results!K$51-Results!K27+1)/Results!K$51*100,2))</f>
        <v>35.67</v>
      </c>
      <c r="H25" s="215">
        <f>IF(ISBLANK(Results!M27),"",ROUND((Results!M$51-Results!M27+1)/Results!M$51*100,2))</f>
        <v>28.03</v>
      </c>
      <c r="I25" s="335">
        <f>IF(ISBLANK(Results!O27),"",ROUND((Results!O$51-Results!O27+1)/Results!O$51*100,2))</f>
        <v>36.58</v>
      </c>
      <c r="J25" s="215"/>
      <c r="K25" s="215">
        <f>IF(ISBLANK(Results!S27),"",ROUND((Results!S$51-Results!S27+1)/Results!S$51*100,2))</f>
        <v>31.27</v>
      </c>
      <c r="L25" s="215" t="str">
        <f>IF(ISBLANK(Results!U27),"",ROUND((Results!U$51-Results!U27+1)/Results!U$51*100,2))</f>
        <v/>
      </c>
      <c r="M25" s="70">
        <f t="shared" si="0"/>
        <v>175.46</v>
      </c>
      <c r="N25" s="70" t="e">
        <f t="shared" si="1"/>
        <v>#NUM!</v>
      </c>
      <c r="O25" s="70">
        <f t="shared" si="2"/>
        <v>175.46</v>
      </c>
    </row>
    <row r="26" spans="1:17" x14ac:dyDescent="0.2">
      <c r="A26" s="68">
        <f t="shared" si="3"/>
        <v>20</v>
      </c>
      <c r="B26" s="213" t="str">
        <f>Results!A15</f>
        <v>Shane Bhujaharry</v>
      </c>
      <c r="C26" s="214" t="str">
        <f>IF(ISBLANK(Results!C15),"",ROUND((Results!C$51-Results!C15+1)/Results!C$51*100,2))</f>
        <v/>
      </c>
      <c r="D26" s="344" t="str">
        <f>IF(ISBLANK(Results!E15),"",ROUND((Results!E$51-Results!E15+1)/Results!E$51*100,2))</f>
        <v/>
      </c>
      <c r="E26" s="215">
        <f>IF(ISBLANK(Results!G15),"",ROUND((Results!G$51-Results!G15+1)/Results!G$51*100,2))</f>
        <v>57.98</v>
      </c>
      <c r="F26" s="335">
        <f>IF(ISBLANK(Results!I15),"",ROUND((Results!I$51-Results!I15+1)/Results!I$51*100,2))</f>
        <v>58.11</v>
      </c>
      <c r="G26" s="335">
        <f>IF(ISBLANK(Results!K15),"",ROUND((Results!K$51-Results!K15+1)/Results!K$51*100,2))</f>
        <v>58.82</v>
      </c>
      <c r="H26" s="215" t="str">
        <f>IF(ISBLANK(Results!M15),"",ROUND((Results!M$51-Results!M15+1)/Results!M$51*100,2))</f>
        <v/>
      </c>
      <c r="I26" s="215" t="str">
        <f>IF(ISBLANK(Results!O15),"",ROUND((Results!O$51-Results!O15+1)/Results!O$51*100,2))</f>
        <v/>
      </c>
      <c r="J26" s="215"/>
      <c r="K26" s="215" t="str">
        <f>IF(ISBLANK(Results!S15),"",ROUND((Results!S$51-Results!S15+1)/Results!S$51*100,2))</f>
        <v/>
      </c>
      <c r="L26" s="215" t="str">
        <f>IF(ISBLANK(Results!U15),"",ROUND((Results!U$51-Results!U15+1)/Results!U$51*100,2))</f>
        <v/>
      </c>
      <c r="M26" s="70">
        <f t="shared" si="0"/>
        <v>174.91</v>
      </c>
      <c r="N26" s="70" t="e">
        <f t="shared" si="1"/>
        <v>#NUM!</v>
      </c>
      <c r="O26" s="70">
        <f t="shared" si="2"/>
        <v>174.91</v>
      </c>
      <c r="Q26" s="53"/>
    </row>
    <row r="27" spans="1:17" x14ac:dyDescent="0.2">
      <c r="A27" s="68">
        <f t="shared" si="3"/>
        <v>21</v>
      </c>
      <c r="B27" s="213" t="str">
        <f>Results!A19</f>
        <v>Tim Albiston</v>
      </c>
      <c r="C27" s="214">
        <f>IF(ISBLANK(Results!C19),"",ROUND((Results!C$51-Results!C19+1)/Results!C$51*100,2))</f>
        <v>50.46</v>
      </c>
      <c r="D27" s="215" t="str">
        <f>IF(ISBLANK(Results!E19),"",ROUND((Results!E$51-Results!E19+1)/Results!E$51*100,2))</f>
        <v/>
      </c>
      <c r="E27" s="215">
        <f>IF(ISBLANK(Results!G19),"",ROUND((Results!G$51-Results!G19+1)/Results!G$51*100,2))</f>
        <v>34.17</v>
      </c>
      <c r="F27" s="335">
        <f>IF(ISBLANK(Results!I19),"",ROUND((Results!I$51-Results!I19+1)/Results!I$51*100,2))</f>
        <v>44.79</v>
      </c>
      <c r="G27" s="215" t="str">
        <f>IF(ISBLANK(Results!K19),"",ROUND((Results!K$51-Results!K19+1)/Results!K$51*100,2))</f>
        <v/>
      </c>
      <c r="H27" s="215" t="str">
        <f>IF(ISBLANK(Results!M19),"",ROUND((Results!M$51-Results!M19+1)/Results!M$51*100,2))</f>
        <v/>
      </c>
      <c r="I27" s="215" t="str">
        <f>IF(ISBLANK(Results!O19),"",ROUND((Results!O$51-Results!O19+1)/Results!O$51*100,2))</f>
        <v/>
      </c>
      <c r="J27" s="69">
        <f>IF(ISNUMBER(LARGE((C27:I27,K27:L27),3)),(LARGE((C27:I27,K27:L27),1)+LARGE((C27:I27,K27:L27),2)+LARGE((C27:I27,K27:L27),3))/3,"")</f>
        <v>43.140000000000008</v>
      </c>
      <c r="K27" s="215" t="str">
        <f>IF(ISBLANK(Results!S19),"",ROUND((Results!S$51-Results!S19+1)/Results!S$51*100,2))</f>
        <v/>
      </c>
      <c r="L27" s="215" t="str">
        <f>IF(ISBLANK(Results!U19),"",ROUND((Results!U$51-Results!U19+1)/Results!U$51*100,2))</f>
        <v/>
      </c>
      <c r="M27" s="70">
        <f t="shared" si="0"/>
        <v>172.56</v>
      </c>
      <c r="N27" s="70" t="e">
        <f t="shared" si="1"/>
        <v>#NUM!</v>
      </c>
      <c r="O27" s="70">
        <f t="shared" si="2"/>
        <v>172.56</v>
      </c>
      <c r="Q27" s="53"/>
    </row>
    <row r="28" spans="1:17" x14ac:dyDescent="0.2">
      <c r="A28" s="68">
        <f t="shared" si="3"/>
        <v>22</v>
      </c>
      <c r="B28" s="213" t="str">
        <f>Results!A11</f>
        <v>Rick Whitehead</v>
      </c>
      <c r="C28" s="336">
        <f>IF(ISBLANK(Results!C11),"",ROUND((Results!C$51-Results!C11+1)/Results!C$51*100,2))</f>
        <v>75.7</v>
      </c>
      <c r="D28" s="215" t="str">
        <f>IF(ISBLANK(Results!E11),"",ROUND((Results!E$51-Results!E11+1)/Results!E$51*100,2))</f>
        <v/>
      </c>
      <c r="E28" s="215" t="str">
        <f>IF(ISBLANK(Results!G11),"",ROUND((Results!G$51-Results!G11+1)/Results!G$51*100,2))</f>
        <v/>
      </c>
      <c r="F28" s="215" t="str">
        <f>IF(ISBLANK(Results!I11),"",ROUND((Results!I$51-Results!I11+1)/Results!I$51*100,2))</f>
        <v/>
      </c>
      <c r="G28" s="335">
        <f>IF(ISBLANK(Results!K11),"",ROUND((Results!K$51-Results!K11+1)/Results!K$51*100,2))</f>
        <v>76.09</v>
      </c>
      <c r="H28" s="215" t="str">
        <f>IF(ISBLANK(Results!M11),"",ROUND((Results!M$51-Results!M11+1)/Results!M$51*100,2))</f>
        <v/>
      </c>
      <c r="I28" s="215" t="str">
        <f>IF(ISBLANK(Results!O11),"",ROUND((Results!O$51-Results!O11+1)/Results!O$51*100,2))</f>
        <v/>
      </c>
      <c r="J28" s="215"/>
      <c r="K28" s="215" t="str">
        <f>IF(ISBLANK(Results!S11),"",ROUND((Results!S$51-Results!S11+1)/Results!S$51*100,2))</f>
        <v/>
      </c>
      <c r="L28" s="215" t="str">
        <f>IF(ISBLANK(Results!U11),"",ROUND((Results!U$51-Results!U11+1)/Results!U$51*100,2))</f>
        <v/>
      </c>
      <c r="M28" s="70">
        <f t="shared" si="0"/>
        <v>151.79000000000002</v>
      </c>
      <c r="N28" s="70" t="e">
        <f t="shared" si="1"/>
        <v>#NUM!</v>
      </c>
      <c r="O28" s="70">
        <f t="shared" si="2"/>
        <v>151.79000000000002</v>
      </c>
    </row>
    <row r="29" spans="1:17" x14ac:dyDescent="0.2">
      <c r="A29" s="68">
        <f t="shared" si="3"/>
        <v>23</v>
      </c>
      <c r="B29" s="213" t="str">
        <f>Results!A55</f>
        <v>Jack Brisbane</v>
      </c>
      <c r="C29" s="214" t="str">
        <f>IF(ISBLANK(Results!C55),"",ROUND((Results!C$56-Results!C55+1)/Results!C$56*100,2))</f>
        <v/>
      </c>
      <c r="D29" s="215" t="str">
        <f>IF(ISBLANK(Results!E55),"",ROUND((Results!E$56-Results!E55+1)/Results!E$56*100,2))</f>
        <v/>
      </c>
      <c r="E29" s="344" t="str">
        <f>IF(ISBLANK(Results!G55),"",ROUND((Results!G$56-Results!G55+1)/Results!G$56*100,2))</f>
        <v/>
      </c>
      <c r="F29" s="215" t="str">
        <f>IF(ISBLANK(Results!I55),"",ROUND((Results!I$56-Results!I55+1)/Results!I$56*100,2))</f>
        <v/>
      </c>
      <c r="G29" s="215">
        <f>IF(ISBLANK(Results!K55),"",ROUND((Results!K$56-Results!K55+1)/Results!K$56*100,2))</f>
        <v>63</v>
      </c>
      <c r="H29" s="215" t="str">
        <f>IF(ISBLANK(Results!M55),"",ROUND((Results!M$56-Results!M55+1)/Results!M$56*100,2))</f>
        <v/>
      </c>
      <c r="I29" s="215" t="str">
        <f>IF(ISBLANK(Results!O55),"",ROUND((Results!O$56-Results!O55+1)/Results!O$56*100,2))</f>
        <v/>
      </c>
      <c r="J29" s="335">
        <f>G29</f>
        <v>63</v>
      </c>
      <c r="K29" s="215" t="str">
        <f>IF(ISBLANK(Results!S55),"",ROUND((Results!S$56-Results!S55+1)/Results!S$56*100,2))</f>
        <v/>
      </c>
      <c r="L29" s="215" t="str">
        <f>IF(ISBLANK(Results!U55),"",ROUND((Results!U$56-Results!U55+1)/Results!U$56*100,2))</f>
        <v/>
      </c>
      <c r="M29" s="70">
        <f t="shared" si="0"/>
        <v>126</v>
      </c>
      <c r="N29" s="70" t="e">
        <f t="shared" si="1"/>
        <v>#NUM!</v>
      </c>
      <c r="O29" s="70">
        <f t="shared" si="2"/>
        <v>126</v>
      </c>
    </row>
    <row r="30" spans="1:17" x14ac:dyDescent="0.2">
      <c r="A30" s="68">
        <f t="shared" si="3"/>
        <v>24</v>
      </c>
      <c r="B30" s="213" t="str">
        <f>Results!A29</f>
        <v>Michael Jansen</v>
      </c>
      <c r="C30" s="214">
        <f>IF(ISBLANK(Results!C29),"",ROUND((Results!C$51-Results!C29+1)/Results!C$51*100,2))</f>
        <v>6.68</v>
      </c>
      <c r="D30" s="215">
        <f>IF(ISBLANK(Results!E29),"",ROUND((Results!E$51-Results!E29+1)/Results!E$51*100,2))</f>
        <v>7.38</v>
      </c>
      <c r="E30" s="335">
        <f>IF(ISBLANK(Results!G29),"",ROUND((Results!G$51-Results!G29+1)/Results!G$51*100,2))</f>
        <v>10.08</v>
      </c>
      <c r="F30" s="335">
        <f>IF(ISBLANK(Results!I29),"",ROUND((Results!I$51-Results!I29+1)/Results!I$51*100,2))</f>
        <v>12.83</v>
      </c>
      <c r="G30" s="335">
        <f>IF(ISBLANK(Results!K29),"",ROUND((Results!K$51-Results!K29+1)/Results!K$51*100,2))</f>
        <v>14.42</v>
      </c>
      <c r="H30" s="335">
        <f>IF(ISBLANK(Results!M29),"",ROUND((Results!M$51-Results!M29+1)/Results!M$51*100,2))</f>
        <v>14.65</v>
      </c>
      <c r="I30" s="215">
        <f>IF(ISBLANK(Results!O29),"",ROUND((Results!O$51-Results!O29+1)/Results!O$51*100,2))</f>
        <v>11.5</v>
      </c>
      <c r="J30" s="69">
        <f>IF(ISNUMBER(LARGE((C30:I30,K30:L30),3)),(LARGE((C30:I30,K30:L30),1)+LARGE((C30:I30,K30:L30),2)+LARGE((C30:I30,K30:L30),3))/3,"")</f>
        <v>15.980000000000002</v>
      </c>
      <c r="K30" s="335">
        <f>IF(ISBLANK(Results!S29),"",ROUND((Results!S$51-Results!S29+1)/Results!S$51*100,2))</f>
        <v>18.87</v>
      </c>
      <c r="L30" s="215" t="str">
        <f>IF(ISBLANK(Results!U29),"",ROUND((Results!U$51-Results!U29+1)/Results!U$51*100,2))</f>
        <v/>
      </c>
      <c r="M30" s="70">
        <f t="shared" si="0"/>
        <v>112.39000000000001</v>
      </c>
      <c r="N30" s="70">
        <f t="shared" si="1"/>
        <v>6.68</v>
      </c>
      <c r="O30" s="70">
        <f t="shared" si="2"/>
        <v>105.71000000000001</v>
      </c>
    </row>
    <row r="31" spans="1:17" x14ac:dyDescent="0.2">
      <c r="A31" s="68">
        <f t="shared" si="3"/>
        <v>25</v>
      </c>
      <c r="B31" s="213" t="str">
        <f>Results!A85</f>
        <v>Emily Stokes</v>
      </c>
      <c r="C31" s="214">
        <f>IF(ISBLANK(Results!C85),"",ROUND((Results!C$97-Results!C85+1)/Results!C$97*100,2))</f>
        <v>14.56</v>
      </c>
      <c r="D31" s="215">
        <f>IF(ISBLANK(Results!E85),"",ROUND((Results!E$97-Results!E85+1)/Results!E$97*100,2))</f>
        <v>15.35</v>
      </c>
      <c r="E31" s="215">
        <f>IF(ISBLANK(Results!G85),"",ROUND((Results!G$97-Results!G85+1)/Results!G$97*100,2))</f>
        <v>15.53</v>
      </c>
      <c r="F31" s="215">
        <f>IF(ISBLANK(Results!I85),"",ROUND((Results!I$97-Results!I85+1)/Results!I$97*100,2))</f>
        <v>12.69</v>
      </c>
      <c r="G31" s="215">
        <f>IF(ISBLANK(Results!K85),"",ROUND((Results!K$97-Results!K85+1)/Results!K$97*100,2))</f>
        <v>11.16</v>
      </c>
      <c r="H31" s="215" t="str">
        <f>IF(ISBLANK(Results!M85),"",ROUND((Results!M$97-Results!M85+1)/Results!M$97*100,2))</f>
        <v/>
      </c>
      <c r="I31" s="215">
        <f>IF(ISBLANK(Results!O85),"",ROUND((Results!O$97-Results!O85+1)/Results!O$97*100,2))</f>
        <v>12.41</v>
      </c>
      <c r="J31" s="69">
        <f>IF(ISNUMBER(LARGE((C31:I31,K31:L31),3)),(LARGE((C31:I31,K31:L31),1)+LARGE((C31:I31,K31:L31),2)+LARGE((C31:I31,K31:L31),3))/3,"")</f>
        <v>15.146666666666667</v>
      </c>
      <c r="K31" s="215" t="str">
        <f>IF(ISBLANK(Results!S85),"",ROUND((Results!S$97-Results!S85+1)/Results!S$97*100,2))</f>
        <v/>
      </c>
      <c r="L31" s="215" t="str">
        <f>IF(ISBLANK(Results!U85),"",ROUND((Results!U$97-Results!U85+1)/Results!U$97*100,2))</f>
        <v/>
      </c>
      <c r="M31" s="70">
        <f t="shared" si="0"/>
        <v>96.84666666666665</v>
      </c>
      <c r="N31" s="70" t="e">
        <f t="shared" si="1"/>
        <v>#NUM!</v>
      </c>
      <c r="O31" s="70">
        <f t="shared" si="2"/>
        <v>96.84666666666665</v>
      </c>
    </row>
    <row r="32" spans="1:17" x14ac:dyDescent="0.2">
      <c r="A32" s="68">
        <f t="shared" si="3"/>
        <v>26</v>
      </c>
      <c r="B32" s="213" t="str">
        <f>Results!A59</f>
        <v>Daniel Spiteri</v>
      </c>
      <c r="C32" s="214">
        <f>IF(ISBLANK(Results!C59),"",ROUND((Results!C$61-Results!C59+1)/Results!C$61*100,2))</f>
        <v>11.11</v>
      </c>
      <c r="D32" s="215">
        <f>IF(ISBLANK(Results!E59),"",ROUND((Results!E$61-Results!E59+1)/Results!E$61*100,2))</f>
        <v>7.14</v>
      </c>
      <c r="E32" s="335">
        <f>IF(ISBLANK(Results!G59),"",ROUND((Results!G$61-Results!G59+1)/Results!G$61*100,2))</f>
        <v>21.05</v>
      </c>
      <c r="F32" s="215" t="str">
        <f>IF(ISBLANK(Results!I59),"",ROUND((Results!I$61-Results!I59+1)/Results!I$61*100,2))</f>
        <v/>
      </c>
      <c r="G32" s="215" t="str">
        <f>IF(ISBLANK(Results!K59),"",ROUND((Results!K$61-Results!K59+1)/Results!K$61*100,2))</f>
        <v/>
      </c>
      <c r="H32" s="215">
        <f>IF(ISBLANK(Results!M59),"",ROUND((Results!M$61-Results!M59+1)/Results!M$61*100,2))</f>
        <v>12.9</v>
      </c>
      <c r="I32" s="215">
        <f>IF(ISBLANK(Results!O59),"",ROUND((Results!O$61-Results!O59+1)/Results!O$61*100,2))</f>
        <v>10</v>
      </c>
      <c r="J32" s="69">
        <f>IF(ISNUMBER(LARGE((C32:I32,K32:L32),3)),(LARGE((C32:I32,K32:L32),1)+LARGE((C32:I32,K32:L32),2)+LARGE((C32:I32,K32:L32),3))/3,"")</f>
        <v>16.649999999999999</v>
      </c>
      <c r="K32" s="215">
        <f>IF(ISBLANK(Results!S59),"",ROUND((Results!S$61-Results!S59+1)/Results!S$61*100,2))</f>
        <v>16</v>
      </c>
      <c r="L32" s="215" t="str">
        <f>IF(ISBLANK(Results!U59),"",ROUND((Results!U$61-Results!U59+1)/Results!U$61*100,2))</f>
        <v/>
      </c>
      <c r="M32" s="70">
        <f t="shared" si="0"/>
        <v>94.85</v>
      </c>
      <c r="N32" s="70" t="e">
        <f t="shared" si="1"/>
        <v>#NUM!</v>
      </c>
      <c r="O32" s="70">
        <f t="shared" si="2"/>
        <v>94.85</v>
      </c>
    </row>
    <row r="33" spans="1:15" x14ac:dyDescent="0.2">
      <c r="A33" s="68">
        <f t="shared" si="3"/>
        <v>27</v>
      </c>
      <c r="B33" s="213" t="str">
        <f>Results!A24</f>
        <v>Craig Sanford</v>
      </c>
      <c r="C33" s="214">
        <f>IF(ISBLANK(Results!C24),"",ROUND((Results!C$51-Results!C24+1)/Results!C$51*100,2))</f>
        <v>37.11</v>
      </c>
      <c r="D33" s="215" t="str">
        <f>IF(ISBLANK(Results!E24),"",ROUND((Results!E$51-Results!E24+1)/Results!E$51*100,2))</f>
        <v/>
      </c>
      <c r="E33" s="215" t="str">
        <f>IF(ISBLANK(Results!G24),"",ROUND((Results!G$51-Results!G24+1)/Results!G$51*100,2))</f>
        <v/>
      </c>
      <c r="F33" s="215" t="str">
        <f>IF(ISBLANK(Results!I24),"",ROUND((Results!I$51-Results!I24+1)/Results!I$51*100,2))</f>
        <v/>
      </c>
      <c r="G33" s="335">
        <f>IF(ISBLANK(Results!K24),"",ROUND((Results!K$51-Results!K24+1)/Results!K$51*100,2))</f>
        <v>48.01</v>
      </c>
      <c r="H33" s="215" t="str">
        <f>IF(ISBLANK(Results!M24),"",ROUND((Results!M$51-Results!M24+1)/Results!M$51*100,2))</f>
        <v/>
      </c>
      <c r="I33" s="215" t="str">
        <f>IF(ISBLANK(Results!O24),"",ROUND((Results!O$51-Results!O24+1)/Results!O$51*100,2))</f>
        <v/>
      </c>
      <c r="J33" s="215"/>
      <c r="K33" s="215" t="str">
        <f>IF(ISBLANK(Results!S24),"",ROUND((Results!S$51-Results!S24+1)/Results!S$51*100,2))</f>
        <v/>
      </c>
      <c r="L33" s="215" t="str">
        <f>IF(ISBLANK(Results!U24),"",ROUND((Results!U$51-Results!U24+1)/Results!U$51*100,2))</f>
        <v/>
      </c>
      <c r="M33" s="70">
        <f t="shared" si="0"/>
        <v>85.12</v>
      </c>
      <c r="N33" s="70" t="e">
        <f t="shared" si="1"/>
        <v>#NUM!</v>
      </c>
      <c r="O33" s="70">
        <f t="shared" si="2"/>
        <v>85.12</v>
      </c>
    </row>
    <row r="34" spans="1:15" x14ac:dyDescent="0.2">
      <c r="A34" s="68">
        <f t="shared" si="3"/>
        <v>28</v>
      </c>
      <c r="B34" s="213" t="str">
        <f>Results!A64</f>
        <v>Patrick Kelly</v>
      </c>
      <c r="C34" s="214">
        <f>IF(ISBLANK(Results!C64),"",ROUND((Results!C$66-Results!C64+1)/Results!C$66*100,2))</f>
        <v>42.86</v>
      </c>
      <c r="D34" s="215" t="str">
        <f>IF(ISBLANK(Results!E64),"",ROUND((Results!E$66-Results!E64+1)/Results!E$66*100,2))</f>
        <v/>
      </c>
      <c r="E34" s="215" t="str">
        <f>IF(ISBLANK(Results!G64),"",ROUND((Results!G$66-Results!G64+1)/Results!G$66*100,2))</f>
        <v/>
      </c>
      <c r="F34" s="215" t="str">
        <f>IF(ISBLANK(Results!I64),"",ROUND((Results!I$66-Results!I64+1)/Results!I$66*100,2))</f>
        <v/>
      </c>
      <c r="G34" s="215" t="str">
        <f>IF(ISBLANK(Results!K64),"",ROUND((Results!K$66-Results!K64+1)/Results!K$66*100,2))</f>
        <v/>
      </c>
      <c r="H34" s="215">
        <f>IF(ISBLANK(Results!M64),"",ROUND((Results!M$66-Results!M64+1)/Results!M$66*100,2))</f>
        <v>40</v>
      </c>
      <c r="I34" s="215" t="str">
        <f>IF(ISBLANK(Results!O64),"",ROUND((Results!O$66-Results!O64+1)/Results!O$66*100,2))</f>
        <v/>
      </c>
      <c r="J34" s="215"/>
      <c r="K34" s="215" t="str">
        <f>IF(ISBLANK(Results!S64),"",ROUND((Results!S$66-Results!S64+1)/Results!S$66*100,2))</f>
        <v/>
      </c>
      <c r="L34" s="215" t="str">
        <f>IF(ISBLANK(Results!U64),"",ROUND((Results!U$66-Results!U64+1)/Results!U$66*100,2))</f>
        <v/>
      </c>
      <c r="M34" s="70">
        <f t="shared" si="0"/>
        <v>82.86</v>
      </c>
      <c r="N34" s="70" t="e">
        <f t="shared" si="1"/>
        <v>#NUM!</v>
      </c>
      <c r="O34" s="70">
        <f t="shared" si="2"/>
        <v>82.86</v>
      </c>
    </row>
    <row r="35" spans="1:15" x14ac:dyDescent="0.2">
      <c r="A35" s="68">
        <f t="shared" si="3"/>
        <v>29</v>
      </c>
      <c r="B35" s="213" t="str">
        <f>Results!A86</f>
        <v>Clare Holst</v>
      </c>
      <c r="C35" s="214">
        <f>IF(ISBLANK(Results!C86),"",ROUND((Results!C$97-Results!C86+1)/Results!C$97*100,2))</f>
        <v>10.73</v>
      </c>
      <c r="D35" s="215" t="str">
        <f>IF(ISBLANK(Results!E86),"",ROUND((Results!E$97-Results!E86+1)/Results!E$97*100,2))</f>
        <v/>
      </c>
      <c r="E35" s="335">
        <f>IF(ISBLANK(Results!G86),"",ROUND((Results!G$97-Results!G86+1)/Results!G$97*100,2))</f>
        <v>14.61</v>
      </c>
      <c r="F35" s="215">
        <f>IF(ISBLANK(Results!I86),"",ROUND((Results!I$97-Results!I86+1)/Results!I$97*100,2))</f>
        <v>15.74</v>
      </c>
      <c r="G35" s="215" t="str">
        <f>IF(ISBLANK(Results!K86),"",ROUND((Results!K$97-Results!K86+1)/Results!K$97*100,2))</f>
        <v/>
      </c>
      <c r="H35" s="215" t="str">
        <f>IF(ISBLANK(Results!M86),"",ROUND((Results!M$97-Results!M86+1)/Results!M$97*100,2))</f>
        <v/>
      </c>
      <c r="I35" s="215">
        <f>IF(ISBLANK(Results!O86),"",ROUND((Results!O$97-Results!O86+1)/Results!O$97*100,2))</f>
        <v>22.07</v>
      </c>
      <c r="J35" s="69">
        <f>IF(ISNUMBER(LARGE((C35:I35,K35:L35),3)),(LARGE((C35:I35,K35:L35),1)+LARGE((C35:I35,K35:L35),2)+LARGE((C35:I35,K35:L35),3))/3,"")</f>
        <v>17.473333333333333</v>
      </c>
      <c r="K35" s="215" t="str">
        <f>IF(ISBLANK(Results!S86),"",ROUND((Results!S$97-Results!S86+1)/Results!S$97*100,2))</f>
        <v/>
      </c>
      <c r="L35" s="215" t="str">
        <f>IF(ISBLANK(Results!U86),"",ROUND((Results!U$97-Results!U86+1)/Results!U$97*100,2))</f>
        <v/>
      </c>
      <c r="M35" s="70">
        <f t="shared" si="0"/>
        <v>80.623333333333335</v>
      </c>
      <c r="N35" s="70" t="e">
        <f t="shared" si="1"/>
        <v>#NUM!</v>
      </c>
      <c r="O35" s="70">
        <f t="shared" si="2"/>
        <v>80.623333333333335</v>
      </c>
    </row>
    <row r="36" spans="1:15" x14ac:dyDescent="0.2">
      <c r="A36" s="68">
        <f t="shared" si="3"/>
        <v>30</v>
      </c>
      <c r="B36" s="213" t="str">
        <f>Results!A28</f>
        <v>Hugh Hunter</v>
      </c>
      <c r="C36" s="214" t="str">
        <f>IF(ISBLANK(Results!C28),"",ROUND((Results!C$51-Results!C28+1)/Results!C$51*100,2))</f>
        <v/>
      </c>
      <c r="D36" s="215">
        <f>IF(ISBLANK(Results!E28),"",ROUND((Results!E$51-Results!E28+1)/Results!E$51*100,2))</f>
        <v>26.21</v>
      </c>
      <c r="E36" s="215">
        <f>IF(ISBLANK(Results!G28),"",ROUND((Results!G$51-Results!G28+1)/Results!G$51*100,2))</f>
        <v>25.21</v>
      </c>
      <c r="F36" s="215" t="str">
        <f>IF(ISBLANK(Results!I28),"",ROUND((Results!I$51-Results!I28+1)/Results!I$51*100,2))</f>
        <v/>
      </c>
      <c r="G36" s="215" t="str">
        <f>IF(ISBLANK(Results!K28),"",ROUND((Results!K$51-Results!K28+1)/Results!K$51*100,2))</f>
        <v/>
      </c>
      <c r="H36" s="335">
        <f>IF(ISBLANK(Results!M28),"",ROUND((Results!M$51-Results!M28+1)/Results!M$51*100,2))</f>
        <v>26.96</v>
      </c>
      <c r="I36" s="215" t="str">
        <f>IF(ISBLANK(Results!O28),"",ROUND((Results!O$51-Results!O28+1)/Results!O$51*100,2))</f>
        <v/>
      </c>
      <c r="J36" s="215"/>
      <c r="K36" s="215" t="str">
        <f>IF(ISBLANK(Results!S28),"",ROUND((Results!S$51-Results!S28+1)/Results!S$51*100,2))</f>
        <v/>
      </c>
      <c r="L36" s="215" t="str">
        <f>IF(ISBLANK(Results!U28),"",ROUND((Results!U$51-Results!U28+1)/Results!U$51*100,2))</f>
        <v/>
      </c>
      <c r="M36" s="70">
        <f t="shared" si="0"/>
        <v>78.38</v>
      </c>
      <c r="N36" s="70" t="e">
        <f t="shared" si="1"/>
        <v>#NUM!</v>
      </c>
      <c r="O36" s="70">
        <f t="shared" si="2"/>
        <v>78.38</v>
      </c>
    </row>
    <row r="37" spans="1:15" x14ac:dyDescent="0.2">
      <c r="A37" s="68">
        <f t="shared" si="3"/>
        <v>31</v>
      </c>
      <c r="B37" s="213" t="str">
        <f>Results!A81</f>
        <v>Nickie Scriven</v>
      </c>
      <c r="C37" s="214">
        <f>IF(ISBLANK(Results!C81),"",ROUND((Results!C$97-Results!C81+1)/Results!C$97*100,2))</f>
        <v>39.08</v>
      </c>
      <c r="D37" s="215">
        <f>IF(ISBLANK(Results!E81),"",ROUND((Results!E$97-Results!E81+1)/Results!E$97*100,2))</f>
        <v>35.35</v>
      </c>
      <c r="E37" s="215" t="str">
        <f>IF(ISBLANK(Results!G81),"",ROUND((Results!G$97-Results!G81+1)/Results!G$97*100,2))</f>
        <v/>
      </c>
      <c r="F37" s="215" t="str">
        <f>IF(ISBLANK(Results!I81),"",ROUND((Results!I$97-Results!I81+1)/Results!I$97*100,2))</f>
        <v/>
      </c>
      <c r="G37" s="215" t="str">
        <f>IF(ISBLANK(Results!K81),"",ROUND((Results!K$97-Results!K81+1)/Results!K$97*100,2))</f>
        <v/>
      </c>
      <c r="H37" s="215" t="str">
        <f>IF(ISBLANK(Results!M81),"",ROUND((Results!M$97-Results!M81+1)/Results!M$97*100,2))</f>
        <v/>
      </c>
      <c r="I37" s="215" t="str">
        <f>IF(ISBLANK(Results!O81),"",ROUND((Results!O$97-Results!O81+1)/Results!O$97*100,2))</f>
        <v/>
      </c>
      <c r="J37" s="215"/>
      <c r="K37" s="215" t="str">
        <f>IF(ISBLANK(Results!S81),"",ROUND((Results!S$97-Results!S81+1)/Results!S$97*100,2))</f>
        <v/>
      </c>
      <c r="L37" s="215" t="str">
        <f>IF(ISBLANK(Results!U81),"",ROUND((Results!U$97-Results!U81+1)/Results!U$97*100,2))</f>
        <v/>
      </c>
      <c r="M37" s="70">
        <f t="shared" si="0"/>
        <v>74.430000000000007</v>
      </c>
      <c r="N37" s="70" t="e">
        <f t="shared" si="1"/>
        <v>#NUM!</v>
      </c>
      <c r="O37" s="70">
        <f t="shared" si="2"/>
        <v>74.430000000000007</v>
      </c>
    </row>
    <row r="38" spans="1:15" x14ac:dyDescent="0.2">
      <c r="A38" s="68">
        <f t="shared" si="3"/>
        <v>32</v>
      </c>
      <c r="B38" s="213" t="str">
        <f>Results!A23</f>
        <v>James McEniry</v>
      </c>
      <c r="C38" s="214" t="str">
        <f>IF(ISBLANK(Results!C23),"",ROUND((Results!C$51-Results!C23+1)/Results!C$51*100,2))</f>
        <v/>
      </c>
      <c r="D38" s="215">
        <f>IF(ISBLANK(Results!E23),"",ROUND((Results!E$51-Results!E23+1)/Results!E$51*100,2))</f>
        <v>29.26</v>
      </c>
      <c r="E38" s="215">
        <f>IF(ISBLANK(Results!G23),"",ROUND((Results!G$51-Results!G23+1)/Results!G$51*100,2))</f>
        <v>18.489999999999998</v>
      </c>
      <c r="F38" s="215" t="str">
        <f>IF(ISBLANK(Results!I23),"",ROUND((Results!I$51-Results!I23+1)/Results!I$51*100,2))</f>
        <v/>
      </c>
      <c r="G38" s="215" t="str">
        <f>IF(ISBLANK(Results!K23),"",ROUND((Results!K$51-Results!K23+1)/Results!K$51*100,2))</f>
        <v/>
      </c>
      <c r="H38" s="215" t="str">
        <f>IF(ISBLANK(Results!M23),"",ROUND((Results!M$51-Results!M23+1)/Results!M$51*100,2))</f>
        <v/>
      </c>
      <c r="I38" s="215" t="str">
        <f>IF(ISBLANK(Results!O23),"",ROUND((Results!O$51-Results!O23+1)/Results!O$51*100,2))</f>
        <v/>
      </c>
      <c r="J38" s="344">
        <f>AVERAGE(D38:E38)</f>
        <v>23.875</v>
      </c>
      <c r="K38" s="215" t="str">
        <f>IF(ISBLANK(Results!S23),"",ROUND((Results!S$51-Results!S23+1)/Results!S$51*100,2))</f>
        <v/>
      </c>
      <c r="L38" s="215" t="str">
        <f>IF(ISBLANK(Results!U23),"",ROUND((Results!U$51-Results!U23+1)/Results!U$51*100,2))</f>
        <v/>
      </c>
      <c r="M38" s="70">
        <f t="shared" si="0"/>
        <v>71.625</v>
      </c>
      <c r="N38" s="70" t="e">
        <f t="shared" si="1"/>
        <v>#NUM!</v>
      </c>
      <c r="O38" s="70">
        <f t="shared" si="2"/>
        <v>71.625</v>
      </c>
    </row>
    <row r="39" spans="1:15" x14ac:dyDescent="0.2">
      <c r="A39" s="68">
        <f t="shared" si="3"/>
        <v>33</v>
      </c>
      <c r="B39" s="213" t="str">
        <f>Results!A30</f>
        <v>Nicholas Spiteri</v>
      </c>
      <c r="C39" s="214">
        <f>IF(ISBLANK(Results!C30),"",ROUND((Results!C$51-Results!C30+1)/Results!C$51*100,2))</f>
        <v>13.91</v>
      </c>
      <c r="D39" s="215">
        <f>IF(ISBLANK(Results!E30),"",ROUND((Results!E$51-Results!E30+1)/Results!E$51*100,2))</f>
        <v>12.47</v>
      </c>
      <c r="E39" s="215">
        <f>IF(ISBLANK(Results!G30),"",ROUND((Results!G$51-Results!G30+1)/Results!G$51*100,2))</f>
        <v>7.84</v>
      </c>
      <c r="F39" s="215">
        <f>IF(ISBLANK(Results!I30),"",ROUND((Results!I$51-Results!I30+1)/Results!I$51*100,2))</f>
        <v>8.23</v>
      </c>
      <c r="G39" s="215" t="str">
        <f>IF(ISBLANK(Results!K30),"",ROUND((Results!K$51-Results!K30+1)/Results!K$51*100,2))</f>
        <v/>
      </c>
      <c r="H39" s="335">
        <f>IF(ISBLANK(Results!M30),"",ROUND((Results!M$51-Results!M30+1)/Results!M$51*100,2))</f>
        <v>13.59</v>
      </c>
      <c r="I39" s="215" t="str">
        <f>IF(ISBLANK(Results!O30),"",ROUND((Results!O$51-Results!O30+1)/Results!O$51*100,2))</f>
        <v/>
      </c>
      <c r="J39" s="69">
        <f>IF(ISNUMBER(LARGE((C39:I39,K39:L39),3)),(LARGE((C39:I39,K39:L39),1)+LARGE((C39:I39,K39:L39),2)+LARGE((C39:I39,K39:L39),3))/3,"")</f>
        <v>13.323333333333332</v>
      </c>
      <c r="K39" s="215">
        <f>IF(ISBLANK(Results!S30),"",ROUND((Results!S$51-Results!S30+1)/Results!S$51*100,2))</f>
        <v>2.16</v>
      </c>
      <c r="L39" s="215" t="str">
        <f>IF(ISBLANK(Results!U30),"",ROUND((Results!U$51-Results!U30+1)/Results!U$51*100,2))</f>
        <v/>
      </c>
      <c r="M39" s="70">
        <f t="shared" ref="M39:M55" si="4">SUM(C39:L39)</f>
        <v>71.523333333333341</v>
      </c>
      <c r="N39" s="70" t="e">
        <f t="shared" ref="N39:N55" si="5">LARGE(C39:L39,$N$4)</f>
        <v>#NUM!</v>
      </c>
      <c r="O39" s="70">
        <f t="shared" ref="O39:O55" si="6">IF(ISNUMBER(N39),M39-N39,M39)</f>
        <v>71.523333333333341</v>
      </c>
    </row>
    <row r="40" spans="1:15" x14ac:dyDescent="0.2">
      <c r="A40" s="68">
        <f t="shared" si="3"/>
        <v>34</v>
      </c>
      <c r="B40" s="213" t="str">
        <f>Results!A25</f>
        <v>Christopher Knott</v>
      </c>
      <c r="C40" s="336">
        <f>IF(ISBLANK(Results!C25),"",ROUND((Results!C$51-Results!C25+1)/Results!C$51*100,2))</f>
        <v>27.27</v>
      </c>
      <c r="D40" s="215" t="str">
        <f>IF(ISBLANK(Results!E25),"",ROUND((Results!E$51-Results!E25+1)/Results!E$51*100,2))</f>
        <v/>
      </c>
      <c r="E40" s="215" t="str">
        <f>IF(ISBLANK(Results!G25),"",ROUND((Results!G$51-Results!G25+1)/Results!G$51*100,2))</f>
        <v/>
      </c>
      <c r="F40" s="215" t="str">
        <f>IF(ISBLANK(Results!I25),"",ROUND((Results!I$51-Results!I25+1)/Results!I$51*100,2))</f>
        <v/>
      </c>
      <c r="G40" s="215">
        <f>IF(ISBLANK(Results!K25),"",ROUND((Results!K$51-Results!K25+1)/Results!K$51*100,2))</f>
        <v>26.19</v>
      </c>
      <c r="H40" s="215" t="str">
        <f>IF(ISBLANK(Results!M25),"",ROUND((Results!M$51-Results!M25+1)/Results!M$51*100,2))</f>
        <v/>
      </c>
      <c r="I40" s="215" t="str">
        <f>IF(ISBLANK(Results!O25),"",ROUND((Results!O$51-Results!O25+1)/Results!O$51*100,2))</f>
        <v/>
      </c>
      <c r="J40" s="215"/>
      <c r="K40" s="215" t="str">
        <f>IF(ISBLANK(Results!S25),"",ROUND((Results!S$51-Results!S25+1)/Results!S$51*100,2))</f>
        <v/>
      </c>
      <c r="L40" s="215" t="str">
        <f>IF(ISBLANK(Results!U25),"",ROUND((Results!U$51-Results!U25+1)/Results!U$51*100,2))</f>
        <v/>
      </c>
      <c r="M40" s="70">
        <f t="shared" si="4"/>
        <v>53.46</v>
      </c>
      <c r="N40" s="70" t="e">
        <f t="shared" si="5"/>
        <v>#NUM!</v>
      </c>
      <c r="O40" s="70">
        <f t="shared" si="6"/>
        <v>53.46</v>
      </c>
    </row>
    <row r="41" spans="1:15" x14ac:dyDescent="0.2">
      <c r="A41" s="68">
        <f t="shared" si="3"/>
        <v>35</v>
      </c>
      <c r="B41" s="213" t="str">
        <f>Results!A87</f>
        <v>Jackie Mitchell</v>
      </c>
      <c r="C41" s="214" t="str">
        <f>IF(ISBLANK(Results!C87),"",ROUND((Results!C$97-Results!C87+1)/Results!C$97*100,2))</f>
        <v/>
      </c>
      <c r="D41" s="215">
        <f>IF(ISBLANK(Results!E87),"",ROUND((Results!E$97-Results!E87+1)/Results!E$97*100,2))</f>
        <v>9.77</v>
      </c>
      <c r="E41" s="215">
        <f>IF(ISBLANK(Results!G87),"",ROUND((Results!G$97-Results!G87+1)/Results!G$97*100,2))</f>
        <v>9.59</v>
      </c>
      <c r="F41" s="215">
        <f>IF(ISBLANK(Results!I87),"",ROUND((Results!I$97-Results!I87+1)/Results!I$97*100,2))</f>
        <v>7.61</v>
      </c>
      <c r="G41" s="215">
        <f>IF(ISBLANK(Results!K87),"",ROUND((Results!K$97-Results!K87+1)/Results!K$97*100,2))</f>
        <v>7.17</v>
      </c>
      <c r="H41" s="215">
        <f>IF(ISBLANK(Results!M87),"",ROUND((Results!M$97-Results!M87+1)/Results!M$97*100,2))</f>
        <v>8.16</v>
      </c>
      <c r="I41" s="215" t="str">
        <f>IF(ISBLANK(Results!O87),"",ROUND((Results!O$97-Results!O87+1)/Results!O$97*100,2))</f>
        <v/>
      </c>
      <c r="J41" s="215"/>
      <c r="K41" s="215">
        <f>IF(ISBLANK(Results!S87),"",ROUND((Results!S$97-Results!S87+1)/Results!S$97*100,2))</f>
        <v>8.2200000000000006</v>
      </c>
      <c r="L41" s="215" t="str">
        <f>IF(ISBLANK(Results!U87),"",ROUND((Results!U$97-Results!U87+1)/Results!U$97*100,2))</f>
        <v/>
      </c>
      <c r="M41" s="70">
        <f t="shared" si="4"/>
        <v>50.519999999999996</v>
      </c>
      <c r="N41" s="70" t="e">
        <f t="shared" si="5"/>
        <v>#NUM!</v>
      </c>
      <c r="O41" s="70">
        <f t="shared" si="6"/>
        <v>50.519999999999996</v>
      </c>
    </row>
    <row r="42" spans="1:15" x14ac:dyDescent="0.2">
      <c r="A42" s="68">
        <f t="shared" si="3"/>
        <v>36</v>
      </c>
      <c r="B42" s="213" t="str">
        <f>Results!A60</f>
        <v>Lakdinu Da Silva</v>
      </c>
      <c r="C42" s="214">
        <f>IF(ISBLANK(Results!C60),"",ROUND((Results!C$61-Results!C60+1)/Results!C$61*100,2))</f>
        <v>40</v>
      </c>
      <c r="D42" s="215" t="str">
        <f>IF(ISBLANK(Results!E60),"",ROUND((Results!E$61-Results!E60+1)/Results!E$61*100,2))</f>
        <v/>
      </c>
      <c r="E42" s="215" t="str">
        <f>IF(ISBLANK(Results!G60),"",ROUND((Results!G$61-Results!G60+1)/Results!G$61*100,2))</f>
        <v/>
      </c>
      <c r="F42" s="215" t="str">
        <f>IF(ISBLANK(Results!I60),"",ROUND((Results!I$61-Results!I60+1)/Results!I$61*100,2))</f>
        <v/>
      </c>
      <c r="G42" s="215" t="str">
        <f>IF(ISBLANK(Results!K60),"",ROUND((Results!K$61-Results!K60+1)/Results!K$61*100,2))</f>
        <v/>
      </c>
      <c r="H42" s="215" t="str">
        <f>IF(ISBLANK(Results!M60),"",ROUND((Results!M$61-Results!M60+1)/Results!M$61*100,2))</f>
        <v/>
      </c>
      <c r="I42" s="215" t="str">
        <f>IF(ISBLANK(Results!O60),"",ROUND((Results!O$61-Results!O60+1)/Results!O$61*100,2))</f>
        <v/>
      </c>
      <c r="J42" s="215"/>
      <c r="K42" s="215" t="str">
        <f>IF(ISBLANK(Results!S60),"",ROUND((Results!S$61-Results!S60+1)/Results!S$61*100,2))</f>
        <v/>
      </c>
      <c r="L42" s="215" t="str">
        <f>IF(ISBLANK(Results!U60),"",ROUND((Results!U$61-Results!U60+1)/Results!U$61*100,2))</f>
        <v/>
      </c>
      <c r="M42" s="70">
        <f t="shared" si="4"/>
        <v>40</v>
      </c>
      <c r="N42" s="70" t="e">
        <f t="shared" si="5"/>
        <v>#NUM!</v>
      </c>
      <c r="O42" s="70">
        <f t="shared" si="6"/>
        <v>40</v>
      </c>
    </row>
    <row r="43" spans="1:15" x14ac:dyDescent="0.2">
      <c r="A43" s="68">
        <f t="shared" si="3"/>
        <v>37</v>
      </c>
      <c r="B43" s="213" t="str">
        <f>Results!A26</f>
        <v>Andrew Baxter</v>
      </c>
      <c r="C43" s="336">
        <f>IF(ISBLANK(Results!C26),"",ROUND((Results!C$51-Results!C26+1)/Results!C$51*100,2))</f>
        <v>32.28</v>
      </c>
      <c r="D43" s="215" t="str">
        <f>IF(ISBLANK(Results!E26),"",ROUND((Results!E$51-Results!E26+1)/Results!E$51*100,2))</f>
        <v/>
      </c>
      <c r="E43" s="215" t="str">
        <f>IF(ISBLANK(Results!G26),"",ROUND((Results!G$51-Results!G26+1)/Results!G$51*100,2))</f>
        <v/>
      </c>
      <c r="F43" s="215" t="str">
        <f>IF(ISBLANK(Results!I26),"",ROUND((Results!I$51-Results!I26+1)/Results!I$51*100,2))</f>
        <v/>
      </c>
      <c r="G43" s="215" t="str">
        <f>IF(ISBLANK(Results!K26),"",ROUND((Results!K$51-Results!K26+1)/Results!K$51*100,2))</f>
        <v/>
      </c>
      <c r="H43" s="215" t="str">
        <f>IF(ISBLANK(Results!M26),"",ROUND((Results!M$51-Results!M26+1)/Results!M$51*100,2))</f>
        <v/>
      </c>
      <c r="I43" s="215" t="str">
        <f>IF(ISBLANK(Results!O26),"",ROUND((Results!O$51-Results!O26+1)/Results!O$51*100,2))</f>
        <v/>
      </c>
      <c r="J43" s="215"/>
      <c r="K43" s="215" t="str">
        <f>IF(ISBLANK(Results!S26),"",ROUND((Results!S$51-Results!S26+1)/Results!S$51*100,2))</f>
        <v/>
      </c>
      <c r="L43" s="215" t="str">
        <f>IF(ISBLANK(Results!U26),"",ROUND((Results!U$51-Results!U26+1)/Results!U$51*100,2))</f>
        <v/>
      </c>
      <c r="M43" s="70">
        <f t="shared" si="4"/>
        <v>32.28</v>
      </c>
      <c r="N43" s="70" t="e">
        <f t="shared" si="5"/>
        <v>#NUM!</v>
      </c>
      <c r="O43" s="70">
        <f t="shared" si="6"/>
        <v>32.28</v>
      </c>
    </row>
    <row r="44" spans="1:15" x14ac:dyDescent="0.2">
      <c r="A44" s="68">
        <f t="shared" si="3"/>
        <v>38</v>
      </c>
      <c r="B44" s="213" t="str">
        <f>Results!A31</f>
        <v>Craig Couper</v>
      </c>
      <c r="C44" s="336">
        <f>IF(ISBLANK(Results!C31),"",ROUND((Results!C$51-Results!C31+1)/Results!C$51*100,2))</f>
        <v>15.03</v>
      </c>
      <c r="D44" s="215">
        <f>IF(ISBLANK(Results!E31),"",ROUND((Results!E$51-Results!E31+1)/Results!E$51*100,2))</f>
        <v>10.69</v>
      </c>
      <c r="E44" s="215" t="str">
        <f>IF(ISBLANK(Results!G31),"",ROUND((Results!G$51-Results!G31+1)/Results!G$51*100,2))</f>
        <v/>
      </c>
      <c r="F44" s="215" t="str">
        <f>IF(ISBLANK(Results!I31),"",ROUND((Results!I$51-Results!I31+1)/Results!I$51*100,2))</f>
        <v/>
      </c>
      <c r="G44" s="215" t="str">
        <f>IF(ISBLANK(Results!K31),"",ROUND((Results!K$51-Results!K31+1)/Results!K$51*100,2))</f>
        <v/>
      </c>
      <c r="H44" s="215" t="str">
        <f>IF(ISBLANK(Results!M31),"",ROUND((Results!M$51-Results!M31+1)/Results!M$51*100,2))</f>
        <v/>
      </c>
      <c r="I44" s="215" t="str">
        <f>IF(ISBLANK(Results!O31),"",ROUND((Results!O$51-Results!O31+1)/Results!O$51*100,2))</f>
        <v/>
      </c>
      <c r="J44" s="215"/>
      <c r="K44" s="215" t="str">
        <f>IF(ISBLANK(Results!S31),"",ROUND((Results!S$51-Results!S31+1)/Results!S$51*100,2))</f>
        <v/>
      </c>
      <c r="L44" s="215" t="str">
        <f>IF(ISBLANK(Results!U31),"",ROUND((Results!U$51-Results!U31+1)/Results!U$51*100,2))</f>
        <v/>
      </c>
      <c r="M44" s="70">
        <f t="shared" si="4"/>
        <v>25.72</v>
      </c>
      <c r="N44" s="70" t="e">
        <f t="shared" si="5"/>
        <v>#NUM!</v>
      </c>
      <c r="O44" s="70">
        <f t="shared" si="6"/>
        <v>25.72</v>
      </c>
    </row>
    <row r="45" spans="1:15" x14ac:dyDescent="0.2">
      <c r="A45" s="68">
        <f t="shared" si="3"/>
        <v>39</v>
      </c>
      <c r="B45" s="213" t="str">
        <f>Results!A96</f>
        <v>Simone Albiston</v>
      </c>
      <c r="C45" s="214">
        <f>IF(ISBLANK(Results!C96),"",ROUND((Results!C$97-Results!C96+1)/Results!C$97*100,2))</f>
        <v>3.07</v>
      </c>
      <c r="D45" s="215">
        <f>IF(ISBLANK(Results!E96),"",ROUND((Results!E$97-Results!E96+1)/Results!E$97*100,2))</f>
        <v>4.6500000000000004</v>
      </c>
      <c r="E45" s="215">
        <f>IF(ISBLANK(Results!G96),"",ROUND((Results!G$97-Results!G96+1)/Results!G$97*100,2))</f>
        <v>4.1100000000000003</v>
      </c>
      <c r="F45" s="215">
        <f>IF(ISBLANK(Results!I96),"",ROUND((Results!I$97-Results!I96+1)/Results!I$97*100,2))</f>
        <v>3.55</v>
      </c>
      <c r="G45" s="215">
        <f>IF(ISBLANK(Results!K96),"",ROUND((Results!K$97-Results!K96+1)/Results!K$97*100,2))</f>
        <v>1.2</v>
      </c>
      <c r="H45" s="215">
        <f>IF(ISBLANK(Results!M96),"",ROUND((Results!M$97-Results!M96+1)/Results!M$97*100,2))</f>
        <v>1.53</v>
      </c>
      <c r="I45" s="215">
        <f>IF(ISBLANK(Results!O96),"",ROUND((Results!O$97-Results!O96+1)/Results!O$97*100,2))</f>
        <v>4.1399999999999997</v>
      </c>
      <c r="J45" s="215"/>
      <c r="K45" s="215" t="str">
        <f>IF(ISBLANK(Results!S96),"",ROUND((Results!S$97-Results!S96+1)/Results!S$97*100,2))</f>
        <v/>
      </c>
      <c r="L45" s="215" t="str">
        <f>IF(ISBLANK(Results!U96),"",ROUND((Results!U$97-Results!U96+1)/Results!U$97*100,2))</f>
        <v/>
      </c>
      <c r="M45" s="70">
        <f t="shared" si="4"/>
        <v>22.250000000000004</v>
      </c>
      <c r="N45" s="70" t="e">
        <f t="shared" si="5"/>
        <v>#NUM!</v>
      </c>
      <c r="O45" s="70">
        <f t="shared" si="6"/>
        <v>22.250000000000004</v>
      </c>
    </row>
    <row r="46" spans="1:15" x14ac:dyDescent="0.2">
      <c r="A46" s="68">
        <f t="shared" si="3"/>
        <v>40</v>
      </c>
      <c r="B46" s="213" t="str">
        <f>Results!A107</f>
        <v>Melissa Vecchio</v>
      </c>
      <c r="C46" s="336">
        <f>IF(ISBLANK(Results!C107),"",ROUND((Results!C$108-Results!C107+1)/Results!C$108*100,2))</f>
        <v>18.75</v>
      </c>
      <c r="D46" s="215" t="str">
        <f>IF(ISBLANK(Results!E107),"",ROUND((Results!E$108-Results!E107+1)/Results!E$108*100,2))</f>
        <v/>
      </c>
      <c r="E46" s="215" t="str">
        <f>IF(ISBLANK(Results!G107),"",ROUND((Results!G$108-Results!G107+1)/Results!G$108*100,2))</f>
        <v/>
      </c>
      <c r="F46" s="215" t="str">
        <f>IF(ISBLANK(Results!I107),"",ROUND((Results!I$108-Results!I107+1)/Results!I$108*100,2))</f>
        <v/>
      </c>
      <c r="G46" s="215" t="str">
        <f>IF(ISBLANK(Results!K107),"",ROUND((Results!K$108-Results!K107+1)/Results!K$108*100,2))</f>
        <v/>
      </c>
      <c r="H46" s="215" t="str">
        <f>IF(ISBLANK(Results!M107),"",ROUND((Results!M$108-Results!M107+1)/Results!M$108*100,2))</f>
        <v/>
      </c>
      <c r="I46" s="215" t="str">
        <f>IF(ISBLANK(Results!O107),"",ROUND((Results!O$108-Results!O107+1)/Results!O$108*100,2))</f>
        <v/>
      </c>
      <c r="J46" s="215"/>
      <c r="K46" s="215" t="str">
        <f>IF(ISBLANK(Results!S107),"",ROUND((Results!S$108-Results!S107+1)/Results!S$108*100,2))</f>
        <v/>
      </c>
      <c r="L46" s="215" t="str">
        <f>IF(ISBLANK(Results!U107),"",ROUND((Results!U$108-Results!U107+1)/Results!U$108*100,2))</f>
        <v/>
      </c>
      <c r="M46" s="70">
        <f t="shared" si="4"/>
        <v>18.75</v>
      </c>
      <c r="N46" s="70" t="e">
        <f t="shared" si="5"/>
        <v>#NUM!</v>
      </c>
      <c r="O46" s="70">
        <f t="shared" si="6"/>
        <v>18.75</v>
      </c>
    </row>
    <row r="47" spans="1:15" x14ac:dyDescent="0.2">
      <c r="A47" s="68">
        <f t="shared" si="3"/>
        <v>41</v>
      </c>
      <c r="B47" s="213" t="str">
        <f>Results!A111</f>
        <v>Alysa Atkinson</v>
      </c>
      <c r="C47" s="336">
        <f>IF(ISBLANK(Results!C111),"",ROUND((Results!C$112-Results!C111+1)/Results!C$112*100,2))</f>
        <v>8.33</v>
      </c>
      <c r="D47" s="215" t="str">
        <f>IF(ISBLANK(Results!E111),"",ROUND((Results!E$112-Results!E111+1)/Results!E$112*100,2))</f>
        <v/>
      </c>
      <c r="E47" s="215" t="str">
        <f>IF(ISBLANK(Results!G111),"",ROUND((Results!G$112-Results!G111+1)/Results!G$112*100,2))</f>
        <v/>
      </c>
      <c r="F47" s="215" t="str">
        <f>IF(ISBLANK(Results!I111),"",ROUND((Results!I$112-Results!I111+1)/Results!I$112*100,2))</f>
        <v/>
      </c>
      <c r="G47" s="215">
        <f>IF(ISBLANK(Results!K111),"",ROUND((Results!K$112-Results!K111+1)/Results!K$112*100,2))</f>
        <v>5.18</v>
      </c>
      <c r="H47" s="215" t="str">
        <f>IF(ISBLANK(Results!M111),"",ROUND((Results!M$112-Results!M111+1)/Results!M$112*100,2))</f>
        <v/>
      </c>
      <c r="I47" s="215" t="str">
        <f>IF(ISBLANK(Results!O111),"",ROUND((Results!O$112-Results!O111+1)/Results!O$112*100,2))</f>
        <v/>
      </c>
      <c r="J47" s="215"/>
      <c r="K47" s="215" t="str">
        <f>IF(ISBLANK(Results!S111),"",ROUND((Results!S$112-Results!S111+1)/Results!S$112*100,2))</f>
        <v/>
      </c>
      <c r="L47" s="215" t="str">
        <f>IF(ISBLANK(Results!U111),"",ROUND((Results!U$112-Results!U111+1)/Results!U$112*100,2))</f>
        <v/>
      </c>
      <c r="M47" s="70">
        <f t="shared" si="4"/>
        <v>13.51</v>
      </c>
      <c r="N47" s="70" t="e">
        <f t="shared" si="5"/>
        <v>#NUM!</v>
      </c>
      <c r="O47" s="70">
        <f t="shared" si="6"/>
        <v>13.51</v>
      </c>
    </row>
    <row r="48" spans="1:15" x14ac:dyDescent="0.2">
      <c r="A48" s="68">
        <f t="shared" si="3"/>
        <v>42</v>
      </c>
      <c r="B48" s="213" t="str">
        <f>Results!A89</f>
        <v>Mai Le</v>
      </c>
      <c r="C48" s="214">
        <f>IF(ISBLANK(Results!C89),"",ROUND((Results!C$97-Results!C89+1)/Results!C$97*100,2))</f>
        <v>4.5999999999999996</v>
      </c>
      <c r="D48" s="215">
        <f>IF(ISBLANK(Results!E89),"",ROUND((Results!E$97-Results!E89+1)/Results!E$97*100,2))</f>
        <v>5.12</v>
      </c>
      <c r="E48" s="215">
        <f>IF(ISBLANK(Results!G89),"",ROUND((Results!G$97-Results!G89+1)/Results!G$97*100,2))</f>
        <v>2.2799999999999998</v>
      </c>
      <c r="F48" s="215" t="str">
        <f>IF(ISBLANK(Results!I89),"",ROUND((Results!I$97-Results!I89+1)/Results!I$97*100,2))</f>
        <v/>
      </c>
      <c r="G48" s="215" t="str">
        <f>IF(ISBLANK(Results!K89),"",ROUND((Results!K$97-Results!K89+1)/Results!K$97*100,2))</f>
        <v/>
      </c>
      <c r="H48" s="215" t="str">
        <f>IF(ISBLANK(Results!M89),"",ROUND((Results!M$97-Results!M89+1)/Results!M$97*100,2))</f>
        <v/>
      </c>
      <c r="I48" s="215" t="str">
        <f>IF(ISBLANK(Results!O89),"",ROUND((Results!O$97-Results!O89+1)/Results!O$97*100,2))</f>
        <v/>
      </c>
      <c r="J48" s="215"/>
      <c r="K48" s="215" t="str">
        <f>IF(ISBLANK(Results!S89),"",ROUND((Results!S$97-Results!S89+1)/Results!S$97*100,2))</f>
        <v/>
      </c>
      <c r="L48" s="215" t="str">
        <f>IF(ISBLANK(Results!U89),"",ROUND((Results!U$97-Results!U89+1)/Results!U$97*100,2))</f>
        <v/>
      </c>
      <c r="M48" s="70">
        <f t="shared" si="4"/>
        <v>11.999999999999998</v>
      </c>
      <c r="N48" s="70" t="e">
        <f t="shared" si="5"/>
        <v>#NUM!</v>
      </c>
      <c r="O48" s="70">
        <f t="shared" si="6"/>
        <v>11.999999999999998</v>
      </c>
    </row>
    <row r="49" spans="1:15" x14ac:dyDescent="0.2">
      <c r="A49" s="68">
        <f t="shared" si="3"/>
        <v>43</v>
      </c>
      <c r="B49" s="213" t="str">
        <f>Results!A69</f>
        <v>Cooper Scriven</v>
      </c>
      <c r="C49" s="336">
        <f>IF(ISBLANK(Results!C69),"",ROUND((Results!C$70-Results!C69+1)/Results!C$70*100,2))</f>
        <v>6.45</v>
      </c>
      <c r="D49" s="215">
        <f>IF(ISBLANK(Results!E69),"",ROUND((Results!E$70-Results!E69+1)/Results!E$70*100,2))</f>
        <v>3.7</v>
      </c>
      <c r="E49" s="215" t="str">
        <f>IF(ISBLANK(Results!G69),"",ROUND((Results!G$70-Results!G69+1)/Results!G$70*100,2))</f>
        <v/>
      </c>
      <c r="F49" s="215" t="str">
        <f>IF(ISBLANK(Results!I69),"",ROUND((Results!I$70-Results!I69+1)/Results!I$70*100,2))</f>
        <v/>
      </c>
      <c r="G49" s="215" t="str">
        <f>IF(ISBLANK(Results!K69),"",ROUND((Results!K$70-Results!K69+1)/Results!K$70*100,2))</f>
        <v/>
      </c>
      <c r="H49" s="215" t="str">
        <f>IF(ISBLANK(Results!M69),"",ROUND((Results!M$70-Results!M69+1)/Results!M$70*100,2))</f>
        <v/>
      </c>
      <c r="I49" s="215" t="str">
        <f>IF(ISBLANK(Results!O69),"",ROUND((Results!O$70-Results!O69+1)/Results!O$70*100,2))</f>
        <v/>
      </c>
      <c r="J49" s="215"/>
      <c r="K49" s="215" t="str">
        <f>IF(ISBLANK(Results!S69),"",ROUND((Results!S$70-Results!S69+1)/Results!S$70*100,2))</f>
        <v/>
      </c>
      <c r="L49" s="215" t="str">
        <f>IF(ISBLANK(Results!U69),"",ROUND((Results!U$70-Results!U69+1)/Results!U$70*100,2))</f>
        <v/>
      </c>
      <c r="M49" s="70">
        <f t="shared" si="4"/>
        <v>10.15</v>
      </c>
      <c r="N49" s="70" t="e">
        <f t="shared" si="5"/>
        <v>#NUM!</v>
      </c>
      <c r="O49" s="70">
        <f t="shared" si="6"/>
        <v>10.15</v>
      </c>
    </row>
    <row r="50" spans="1:15" x14ac:dyDescent="0.2">
      <c r="A50" s="68">
        <f t="shared" si="3"/>
        <v>44</v>
      </c>
      <c r="B50" s="213" t="str">
        <f>Results!A32</f>
        <v>Clyde Riddoch</v>
      </c>
      <c r="C50" s="214">
        <f>IF(ISBLANK(Results!C32),"",ROUND((Results!C$51-Results!C32+1)/Results!C$51*100,2))</f>
        <v>2.78</v>
      </c>
      <c r="D50" s="215">
        <f>IF(ISBLANK(Results!E32),"",ROUND((Results!E$51-Results!E32+1)/Results!E$51*100,2))</f>
        <v>1.02</v>
      </c>
      <c r="E50" s="215">
        <f>IF(ISBLANK(Results!G32),"",ROUND((Results!G$51-Results!G32+1)/Results!G$51*100,2))</f>
        <v>1.1200000000000001</v>
      </c>
      <c r="F50" s="215">
        <f>IF(ISBLANK(Results!I32),"",ROUND((Results!I$51-Results!I32+1)/Results!I$51*100,2))</f>
        <v>0.97</v>
      </c>
      <c r="G50" s="215" t="str">
        <f>IF(ISBLANK(Results!K32),"",ROUND((Results!K$51-Results!K32+1)/Results!K$51*100,2))</f>
        <v/>
      </c>
      <c r="H50" s="215">
        <f>IF(ISBLANK(Results!M32),"",ROUND((Results!M$51-Results!M32+1)/Results!M$51*100,2))</f>
        <v>1.27</v>
      </c>
      <c r="I50" s="215">
        <f>IF(ISBLANK(Results!O32),"",ROUND((Results!O$51-Results!O32+1)/Results!O$51*100,2))</f>
        <v>1.18</v>
      </c>
      <c r="J50" s="215"/>
      <c r="K50" s="215" t="str">
        <f>IF(ISBLANK(Results!S32),"",ROUND((Results!S$51-Results!S32+1)/Results!S$51*100,2))</f>
        <v/>
      </c>
      <c r="L50" s="215" t="str">
        <f>IF(ISBLANK(Results!U32),"",ROUND((Results!U$51-Results!U32+1)/Results!U$51*100,2))</f>
        <v/>
      </c>
      <c r="M50" s="70">
        <f t="shared" si="4"/>
        <v>8.34</v>
      </c>
      <c r="N50" s="70" t="e">
        <f t="shared" si="5"/>
        <v>#NUM!</v>
      </c>
      <c r="O50" s="70">
        <f t="shared" si="6"/>
        <v>8.34</v>
      </c>
    </row>
    <row r="51" spans="1:15" x14ac:dyDescent="0.2">
      <c r="A51" s="68">
        <f t="shared" si="3"/>
        <v>45</v>
      </c>
      <c r="B51" s="213" t="str">
        <f>Results!A33</f>
        <v>John Nolan</v>
      </c>
      <c r="C51" s="214" t="str">
        <f>IF(ISBLANK(Results!C33),"",ROUND((Results!C$51-Results!C33+1)/Results!C$51*100,2))</f>
        <v/>
      </c>
      <c r="D51" s="215" t="str">
        <f>IF(ISBLANK(Results!E33),"",ROUND((Results!E$51-Results!E33+1)/Results!E$51*100,2))</f>
        <v/>
      </c>
      <c r="E51" s="215" t="str">
        <f>IF(ISBLANK(Results!G33),"",ROUND((Results!G$51-Results!G33+1)/Results!G$51*100,2))</f>
        <v/>
      </c>
      <c r="F51" s="215" t="str">
        <f>IF(ISBLANK(Results!I33),"",ROUND((Results!I$51-Results!I33+1)/Results!I$51*100,2))</f>
        <v/>
      </c>
      <c r="G51" s="215">
        <f>IF(ISBLANK(Results!K33),"",ROUND((Results!K$51-Results!K33+1)/Results!K$51*100,2))</f>
        <v>3.23</v>
      </c>
      <c r="H51" s="215" t="str">
        <f>IF(ISBLANK(Results!M33),"",ROUND((Results!M$51-Results!M33+1)/Results!M$51*100,2))</f>
        <v/>
      </c>
      <c r="I51" s="215" t="str">
        <f>IF(ISBLANK(Results!O33),"",ROUND((Results!O$51-Results!O33+1)/Results!O$51*100,2))</f>
        <v/>
      </c>
      <c r="J51" s="215"/>
      <c r="K51" s="215" t="str">
        <f>IF(ISBLANK(Results!S33),"",ROUND((Results!S$51-Results!S33+1)/Results!S$51*100,2))</f>
        <v/>
      </c>
      <c r="L51" s="215" t="str">
        <f>IF(ISBLANK(Results!U33),"",ROUND((Results!U$51-Results!U33+1)/Results!U$51*100,2))</f>
        <v/>
      </c>
      <c r="M51" s="70">
        <f t="shared" si="4"/>
        <v>3.23</v>
      </c>
      <c r="N51" s="70" t="e">
        <f t="shared" si="5"/>
        <v>#NUM!</v>
      </c>
      <c r="O51" s="70">
        <f t="shared" si="6"/>
        <v>3.23</v>
      </c>
    </row>
    <row r="52" spans="1:15" hidden="1" x14ac:dyDescent="0.2">
      <c r="A52" s="68">
        <f t="shared" si="3"/>
        <v>46</v>
      </c>
      <c r="B52" s="213" t="str">
        <f>Results!A16</f>
        <v>Glenn Goodman</v>
      </c>
      <c r="C52" s="214" t="str">
        <f>IF(ISBLANK(Results!C16),"",ROUND((Results!C$51-Results!C16+1)/Results!C$51*100,2))</f>
        <v/>
      </c>
      <c r="D52" s="215" t="str">
        <f>IF(ISBLANK(Results!E16),"",ROUND((Results!E$51-Results!E16+1)/Results!E$51*100,2))</f>
        <v/>
      </c>
      <c r="E52" s="215" t="str">
        <f>IF(ISBLANK(Results!G16),"",ROUND((Results!G$51-Results!G16+1)/Results!G$51*100,2))</f>
        <v/>
      </c>
      <c r="F52" s="215" t="str">
        <f>IF(ISBLANK(Results!I16),"",ROUND((Results!I$51-Results!I16+1)/Results!I$51*100,2))</f>
        <v/>
      </c>
      <c r="G52" s="215" t="str">
        <f>IF(ISBLANK(Results!K16),"",ROUND((Results!K$51-Results!K16+1)/Results!K$51*100,2))</f>
        <v/>
      </c>
      <c r="H52" s="215" t="str">
        <f>IF(ISBLANK(Results!M16),"",ROUND((Results!M$51-Results!M16+1)/Results!M$51*100,2))</f>
        <v/>
      </c>
      <c r="I52" s="215" t="str">
        <f>IF(ISBLANK(Results!O16),"",ROUND((Results!O$51-Results!O16+1)/Results!O$51*100,2))</f>
        <v/>
      </c>
      <c r="J52" s="215"/>
      <c r="K52" s="215" t="str">
        <f>IF(ISBLANK(Results!S16),"",ROUND((Results!S$51-Results!S16+1)/Results!S$51*100,2))</f>
        <v/>
      </c>
      <c r="L52" s="215" t="str">
        <f>IF(ISBLANK(Results!U16),"",ROUND((Results!U$51-Results!U16+1)/Results!U$51*100,2))</f>
        <v/>
      </c>
      <c r="M52" s="70">
        <f t="shared" si="4"/>
        <v>0</v>
      </c>
      <c r="N52" s="70" t="e">
        <f t="shared" si="5"/>
        <v>#NUM!</v>
      </c>
      <c r="O52" s="70">
        <f t="shared" si="6"/>
        <v>0</v>
      </c>
    </row>
    <row r="53" spans="1:15" hidden="1" x14ac:dyDescent="0.2">
      <c r="A53" s="68">
        <f t="shared" si="3"/>
        <v>47</v>
      </c>
      <c r="B53" s="213" t="str">
        <f>Results!A20</f>
        <v>Matt Zonneveldt</v>
      </c>
      <c r="C53" s="214" t="str">
        <f>IF(ISBLANK(Results!C20),"",ROUND((Results!C$51-Results!C20+1)/Results!C$51*100,2))</f>
        <v/>
      </c>
      <c r="D53" s="215" t="str">
        <f>IF(ISBLANK(Results!E20),"",ROUND((Results!E$51-Results!E20+1)/Results!E$51*100,2))</f>
        <v/>
      </c>
      <c r="E53" s="215" t="str">
        <f>IF(ISBLANK(Results!G20),"",ROUND((Results!G$51-Results!G20+1)/Results!G$51*100,2))</f>
        <v/>
      </c>
      <c r="F53" s="215" t="str">
        <f>IF(ISBLANK(Results!I20),"",ROUND((Results!I$51-Results!I20+1)/Results!I$51*100,2))</f>
        <v/>
      </c>
      <c r="G53" s="215" t="str">
        <f>IF(ISBLANK(Results!K20),"",ROUND((Results!K$51-Results!K20+1)/Results!K$51*100,2))</f>
        <v/>
      </c>
      <c r="H53" s="215" t="str">
        <f>IF(ISBLANK(Results!M20),"",ROUND((Results!M$51-Results!M20+1)/Results!M$51*100,2))</f>
        <v/>
      </c>
      <c r="I53" s="215" t="str">
        <f>IF(ISBLANK(Results!O20),"",ROUND((Results!O$51-Results!O20+1)/Results!O$51*100,2))</f>
        <v/>
      </c>
      <c r="J53" s="215"/>
      <c r="K53" s="215" t="str">
        <f>IF(ISBLANK(Results!S20),"",ROUND((Results!S$51-Results!S20+1)/Results!S$51*100,2))</f>
        <v/>
      </c>
      <c r="L53" s="215" t="str">
        <f>IF(ISBLANK(Results!U20),"",ROUND((Results!U$51-Results!U20+1)/Results!U$51*100,2))</f>
        <v/>
      </c>
      <c r="M53" s="70">
        <f t="shared" si="4"/>
        <v>0</v>
      </c>
      <c r="N53" s="70" t="e">
        <f t="shared" si="5"/>
        <v>#NUM!</v>
      </c>
      <c r="O53" s="70">
        <f t="shared" si="6"/>
        <v>0</v>
      </c>
    </row>
    <row r="54" spans="1:15" hidden="1" x14ac:dyDescent="0.2">
      <c r="A54" s="68">
        <f t="shared" si="3"/>
        <v>48</v>
      </c>
      <c r="B54" s="213" t="str">
        <f>Results!A21</f>
        <v>Rohan Claffey</v>
      </c>
      <c r="C54" s="214" t="str">
        <f>IF(ISBLANK(Results!C21),"",ROUND((Results!C$51-Results!C21+1)/Results!C$51*100,2))</f>
        <v/>
      </c>
      <c r="D54" s="215" t="str">
        <f>IF(ISBLANK(Results!E21),"",ROUND((Results!E$51-Results!E21+1)/Results!E$51*100,2))</f>
        <v/>
      </c>
      <c r="E54" s="215" t="str">
        <f>IF(ISBLANK(Results!G21),"",ROUND((Results!G$51-Results!G21+1)/Results!G$51*100,2))</f>
        <v/>
      </c>
      <c r="F54" s="215" t="str">
        <f>IF(ISBLANK(Results!I21),"",ROUND((Results!I$51-Results!I21+1)/Results!I$51*100,2))</f>
        <v/>
      </c>
      <c r="G54" s="215" t="str">
        <f>IF(ISBLANK(Results!K21),"",ROUND((Results!K$51-Results!K21+1)/Results!K$51*100,2))</f>
        <v/>
      </c>
      <c r="H54" s="215" t="str">
        <f>IF(ISBLANK(Results!M21),"",ROUND((Results!M$51-Results!M21+1)/Results!M$51*100,2))</f>
        <v/>
      </c>
      <c r="I54" s="215" t="str">
        <f>IF(ISBLANK(Results!O21),"",ROUND((Results!O$51-Results!O21+1)/Results!O$51*100,2))</f>
        <v/>
      </c>
      <c r="J54" s="215"/>
      <c r="K54" s="215" t="str">
        <f>IF(ISBLANK(Results!S21),"",ROUND((Results!S$51-Results!S21+1)/Results!S$51*100,2))</f>
        <v/>
      </c>
      <c r="L54" s="215" t="str">
        <f>IF(ISBLANK(Results!U21),"",ROUND((Results!U$51-Results!U21+1)/Results!U$51*100,2))</f>
        <v/>
      </c>
      <c r="M54" s="70">
        <f t="shared" si="4"/>
        <v>0</v>
      </c>
      <c r="N54" s="70" t="e">
        <f t="shared" si="5"/>
        <v>#NUM!</v>
      </c>
      <c r="O54" s="70">
        <f t="shared" si="6"/>
        <v>0</v>
      </c>
    </row>
    <row r="55" spans="1:15" hidden="1" x14ac:dyDescent="0.2">
      <c r="A55" s="68">
        <f t="shared" si="3"/>
        <v>49</v>
      </c>
      <c r="B55" s="213" t="str">
        <f>Results!A88</f>
        <v>Petra Spiteri</v>
      </c>
      <c r="C55" s="214" t="str">
        <f>IF(ISBLANK(Results!C88),"",ROUND((Results!C$97-Results!C88+1)/Results!C$97*100,2))</f>
        <v/>
      </c>
      <c r="D55" s="215" t="str">
        <f>IF(ISBLANK(Results!E88),"",ROUND((Results!E$97-Results!E88+1)/Results!E$97*100,2))</f>
        <v/>
      </c>
      <c r="E55" s="215" t="str">
        <f>IF(ISBLANK(Results!G88),"",ROUND((Results!G$97-Results!G88+1)/Results!G$97*100,2))</f>
        <v/>
      </c>
      <c r="F55" s="215" t="str">
        <f>IF(ISBLANK(Results!I88),"",ROUND((Results!I$97-Results!I88+1)/Results!I$97*100,2))</f>
        <v/>
      </c>
      <c r="G55" s="215" t="str">
        <f>IF(ISBLANK(Results!K88),"",ROUND((Results!K$97-Results!K88+1)/Results!K$97*100,2))</f>
        <v/>
      </c>
      <c r="H55" s="215" t="str">
        <f>IF(ISBLANK(Results!M88),"",ROUND((Results!M$97-Results!M88+1)/Results!M$97*100,2))</f>
        <v/>
      </c>
      <c r="I55" s="215" t="str">
        <f>IF(ISBLANK(Results!O88),"",ROUND((Results!O$97-Results!O88+1)/Results!O$97*100,2))</f>
        <v/>
      </c>
      <c r="J55" s="215"/>
      <c r="K55" s="215" t="str">
        <f>IF(ISBLANK(Results!S88),"",ROUND((Results!S$97-Results!S88+1)/Results!S$97*100,2))</f>
        <v/>
      </c>
      <c r="L55" s="215" t="str">
        <f>IF(ISBLANK(Results!U88),"",ROUND((Results!U$97-Results!U88+1)/Results!U$97*100,2))</f>
        <v/>
      </c>
      <c r="M55" s="70">
        <f t="shared" si="4"/>
        <v>0</v>
      </c>
      <c r="N55" s="70" t="e">
        <f t="shared" si="5"/>
        <v>#NUM!</v>
      </c>
      <c r="O55" s="70">
        <f t="shared" si="6"/>
        <v>0</v>
      </c>
    </row>
    <row r="56" spans="1:15" x14ac:dyDescent="0.2">
      <c r="A56" s="71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218"/>
      <c r="M56" s="72"/>
      <c r="N56" s="50"/>
      <c r="O56" s="72"/>
    </row>
    <row r="57" spans="1:15" x14ac:dyDescent="0.2">
      <c r="A57" s="30"/>
      <c r="B57" s="6"/>
      <c r="C57" s="69"/>
      <c r="D57" s="69"/>
      <c r="E57" s="69"/>
      <c r="F57" s="69"/>
      <c r="G57" s="69"/>
      <c r="H57" s="69"/>
      <c r="I57" s="69"/>
      <c r="J57" s="69"/>
      <c r="K57" s="6"/>
      <c r="M57" s="6"/>
      <c r="O57" s="39"/>
    </row>
    <row r="58" spans="1:15" x14ac:dyDescent="0.2">
      <c r="A58" s="73" t="s">
        <v>13</v>
      </c>
      <c r="I58" s="53"/>
      <c r="K58" s="6"/>
      <c r="M58" s="28"/>
      <c r="O58" s="39"/>
    </row>
    <row r="59" spans="1:15" x14ac:dyDescent="0.2">
      <c r="A59" s="295" t="s">
        <v>869</v>
      </c>
      <c r="B59" s="69"/>
      <c r="C59" s="69"/>
      <c r="D59" s="243"/>
      <c r="E59" s="69"/>
      <c r="G59" s="69"/>
      <c r="H59" s="69"/>
      <c r="I59" s="69"/>
      <c r="J59" s="244"/>
      <c r="K59" s="6" t="s">
        <v>117</v>
      </c>
      <c r="M59" s="6"/>
      <c r="O59" s="39"/>
    </row>
    <row r="60" spans="1:15" x14ac:dyDescent="0.2">
      <c r="A60" s="75"/>
      <c r="B60" s="69"/>
      <c r="C60" s="69"/>
      <c r="D60" s="6"/>
      <c r="E60" s="69"/>
      <c r="F60" s="69"/>
      <c r="G60" s="69"/>
      <c r="H60" s="69"/>
      <c r="I60" s="69"/>
      <c r="J60" s="6"/>
      <c r="K60" s="6"/>
      <c r="M60" s="6"/>
      <c r="O60" s="39"/>
    </row>
    <row r="61" spans="1:15" x14ac:dyDescent="0.2">
      <c r="A61" s="295" t="s">
        <v>870</v>
      </c>
      <c r="B61" s="69"/>
      <c r="C61" s="69" t="s">
        <v>14</v>
      </c>
      <c r="D61" s="6"/>
      <c r="E61" s="337" t="s">
        <v>868</v>
      </c>
      <c r="F61" s="69"/>
      <c r="G61" s="69"/>
      <c r="H61" s="69"/>
      <c r="I61" s="69"/>
      <c r="J61" s="6"/>
      <c r="K61" s="6"/>
      <c r="M61" s="6"/>
    </row>
    <row r="62" spans="1:15" x14ac:dyDescent="0.2">
      <c r="A62" s="74"/>
      <c r="B62" s="69"/>
      <c r="C62" s="69"/>
      <c r="D62" s="6"/>
      <c r="E62" s="69"/>
      <c r="F62" s="69"/>
      <c r="G62" s="69"/>
      <c r="H62" s="69"/>
      <c r="I62" s="69"/>
      <c r="J62" s="6"/>
      <c r="K62" s="6"/>
      <c r="M62" s="6"/>
    </row>
    <row r="63" spans="1:15" x14ac:dyDescent="0.2">
      <c r="A63" s="74" t="s">
        <v>15</v>
      </c>
      <c r="B63" s="69"/>
      <c r="C63" s="69"/>
      <c r="D63" s="69" t="s">
        <v>16</v>
      </c>
      <c r="H63" s="69"/>
      <c r="I63" s="69"/>
      <c r="J63" s="6"/>
      <c r="K63" s="6"/>
      <c r="M63" s="28"/>
    </row>
    <row r="64" spans="1:15" x14ac:dyDescent="0.2">
      <c r="A64" s="74"/>
      <c r="B64" s="69"/>
      <c r="C64" s="69"/>
      <c r="D64" s="69" t="s">
        <v>17</v>
      </c>
      <c r="F64" s="69"/>
      <c r="H64" s="69"/>
      <c r="I64" s="69"/>
      <c r="J64" s="6"/>
      <c r="K64" s="6"/>
    </row>
    <row r="65" spans="1:11" x14ac:dyDescent="0.2">
      <c r="A65" s="74"/>
      <c r="B65" s="69"/>
      <c r="C65" s="69"/>
      <c r="D65" s="69" t="s">
        <v>18</v>
      </c>
      <c r="F65" s="69"/>
      <c r="H65" s="69"/>
      <c r="I65" s="69"/>
      <c r="J65" s="6"/>
      <c r="K65" s="6"/>
    </row>
    <row r="66" spans="1:11" x14ac:dyDescent="0.2">
      <c r="A66" s="74"/>
      <c r="B66" s="69"/>
      <c r="C66" s="69"/>
      <c r="D66" s="6"/>
      <c r="E66" s="69"/>
      <c r="F66" s="69"/>
      <c r="G66" s="69"/>
      <c r="H66" s="69"/>
      <c r="I66" s="69"/>
      <c r="J66" s="6"/>
      <c r="K66" s="6"/>
    </row>
    <row r="67" spans="1:11" x14ac:dyDescent="0.2">
      <c r="A67" s="74" t="s">
        <v>19</v>
      </c>
      <c r="B67" s="69"/>
      <c r="C67" s="69"/>
      <c r="D67" s="6"/>
      <c r="E67" s="69"/>
      <c r="F67" s="69"/>
      <c r="G67" s="69"/>
      <c r="H67" s="69"/>
      <c r="I67" s="69"/>
      <c r="J67" s="6"/>
      <c r="K67" s="6"/>
    </row>
    <row r="68" spans="1:11" x14ac:dyDescent="0.2">
      <c r="A68" s="74" t="s">
        <v>21</v>
      </c>
      <c r="B68" s="69"/>
      <c r="C68" s="69"/>
      <c r="D68" s="6"/>
      <c r="E68" s="69"/>
      <c r="F68" s="69"/>
      <c r="G68" s="69"/>
      <c r="H68" s="69"/>
      <c r="I68" s="69"/>
      <c r="J68" s="6"/>
      <c r="K68" s="6"/>
    </row>
    <row r="69" spans="1:11" x14ac:dyDescent="0.2">
      <c r="A69" s="75"/>
      <c r="B69" s="69"/>
      <c r="C69" s="69"/>
      <c r="D69" s="6"/>
      <c r="E69" s="69"/>
      <c r="F69" s="69"/>
      <c r="G69" s="69"/>
      <c r="H69" s="69"/>
      <c r="I69" s="69"/>
      <c r="J69" s="6"/>
    </row>
    <row r="70" spans="1:11" x14ac:dyDescent="0.2">
      <c r="A70" s="74" t="s">
        <v>153</v>
      </c>
      <c r="B70" s="69"/>
      <c r="C70" s="69"/>
      <c r="D70" s="6"/>
      <c r="E70" s="69"/>
      <c r="F70" s="69"/>
      <c r="G70" s="69"/>
      <c r="H70" s="69"/>
      <c r="I70" s="69"/>
      <c r="J70" s="6"/>
    </row>
    <row r="71" spans="1:11" x14ac:dyDescent="0.2">
      <c r="A71" s="295" t="s">
        <v>565</v>
      </c>
      <c r="B71" s="69"/>
      <c r="C71" s="69"/>
      <c r="D71" s="6"/>
      <c r="E71" s="69"/>
      <c r="F71" s="69"/>
      <c r="G71" s="69"/>
      <c r="H71" s="69"/>
      <c r="I71" s="69"/>
      <c r="J71" s="6"/>
    </row>
    <row r="72" spans="1:11" x14ac:dyDescent="0.2">
      <c r="A72" s="295" t="s">
        <v>564</v>
      </c>
      <c r="I72" s="53"/>
    </row>
    <row r="84" hidden="1" x14ac:dyDescent="0.2"/>
    <row r="85" hidden="1" x14ac:dyDescent="0.2"/>
    <row r="94" hidden="1" x14ac:dyDescent="0.2"/>
    <row r="95" hidden="1" x14ac:dyDescent="0.2"/>
  </sheetData>
  <sortState ref="B7:O51">
    <sortCondition descending="1" ref="O7:O51"/>
  </sortState>
  <phoneticPr fontId="12" type="noConversion"/>
  <pageMargins left="0.75" right="0.75" top="0.56999999999999995" bottom="0.48" header="0.5" footer="0.5"/>
  <pageSetup scale="75" orientation="landscape" horizontalDpi="360" verticalDpi="4294967293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Y131"/>
  <sheetViews>
    <sheetView showGridLines="0" workbookViewId="0">
      <selection activeCell="A25" sqref="A25"/>
    </sheetView>
  </sheetViews>
  <sheetFormatPr defaultRowHeight="12.75" x14ac:dyDescent="0.2"/>
  <cols>
    <col min="1" max="1" width="17.85546875" customWidth="1"/>
    <col min="2" max="2" width="8.42578125" customWidth="1"/>
    <col min="3" max="3" width="5.5703125" customWidth="1"/>
    <col min="4" max="4" width="18.140625" customWidth="1"/>
    <col min="5" max="5" width="7.42578125" customWidth="1"/>
    <col min="6" max="6" width="5.140625" customWidth="1"/>
    <col min="7" max="7" width="16.140625" customWidth="1"/>
    <col min="8" max="8" width="8.42578125" customWidth="1"/>
    <col min="9" max="9" width="5.42578125" customWidth="1"/>
    <col min="10" max="10" width="17" customWidth="1"/>
    <col min="12" max="12" width="5.42578125" customWidth="1"/>
    <col min="13" max="13" width="15.7109375" hidden="1" customWidth="1"/>
    <col min="17" max="17" width="19.140625" customWidth="1"/>
  </cols>
  <sheetData>
    <row r="1" spans="1:20" ht="23.25" x14ac:dyDescent="0.35">
      <c r="A1" s="111" t="s">
        <v>648</v>
      </c>
    </row>
    <row r="2" spans="1:20" x14ac:dyDescent="0.2">
      <c r="A2" t="s">
        <v>646</v>
      </c>
    </row>
    <row r="3" spans="1:20" x14ac:dyDescent="0.2">
      <c r="R3">
        <v>2016</v>
      </c>
      <c r="S3">
        <v>2015</v>
      </c>
      <c r="T3" s="330" t="s">
        <v>691</v>
      </c>
    </row>
    <row r="4" spans="1:20" x14ac:dyDescent="0.2">
      <c r="A4" s="160" t="s">
        <v>393</v>
      </c>
      <c r="B4" s="161" t="s">
        <v>692</v>
      </c>
      <c r="D4" s="160" t="s">
        <v>488</v>
      </c>
      <c r="E4" s="192" t="s">
        <v>693</v>
      </c>
      <c r="G4" s="160" t="s">
        <v>690</v>
      </c>
      <c r="H4" s="192"/>
      <c r="Q4" s="274" t="s">
        <v>266</v>
      </c>
      <c r="R4" s="110"/>
      <c r="S4" s="110"/>
      <c r="T4" s="234">
        <v>21.3</v>
      </c>
    </row>
    <row r="5" spans="1:20" s="110" customFormat="1" x14ac:dyDescent="0.2">
      <c r="A5" s="274" t="s">
        <v>266</v>
      </c>
      <c r="B5" s="247">
        <v>21.33</v>
      </c>
      <c r="C5" s="247" t="s">
        <v>367</v>
      </c>
      <c r="D5" s="329" t="s">
        <v>78</v>
      </c>
      <c r="E5" s="186">
        <v>25.11</v>
      </c>
      <c r="F5" s="277"/>
      <c r="G5" s="247" t="s">
        <v>23</v>
      </c>
      <c r="H5" s="247">
        <v>34.299999999999997</v>
      </c>
      <c r="Q5" s="327" t="s">
        <v>77</v>
      </c>
      <c r="R5" s="247">
        <v>22</v>
      </c>
      <c r="S5"/>
      <c r="T5" s="234">
        <f>MIN(R5:S5)</f>
        <v>22</v>
      </c>
    </row>
    <row r="6" spans="1:20" s="110" customFormat="1" x14ac:dyDescent="0.2">
      <c r="A6" s="327" t="s">
        <v>77</v>
      </c>
      <c r="B6" s="186">
        <v>21.38</v>
      </c>
      <c r="C6" s="247"/>
      <c r="D6" s="247" t="s">
        <v>379</v>
      </c>
      <c r="E6" s="247">
        <v>26.41</v>
      </c>
      <c r="F6" s="247" t="s">
        <v>367</v>
      </c>
      <c r="G6" s="328"/>
      <c r="H6" s="247"/>
      <c r="L6" s="123"/>
      <c r="Q6" s="274" t="s">
        <v>342</v>
      </c>
      <c r="R6" s="247">
        <v>23.29</v>
      </c>
      <c r="S6" s="245">
        <v>23.04</v>
      </c>
      <c r="T6" s="234">
        <f>MIN(R6:S6)</f>
        <v>23.04</v>
      </c>
    </row>
    <row r="7" spans="1:20" s="110" customFormat="1" x14ac:dyDescent="0.2">
      <c r="A7" s="274" t="s">
        <v>174</v>
      </c>
      <c r="B7" s="247">
        <v>23.11</v>
      </c>
      <c r="C7" s="247"/>
      <c r="D7" s="189" t="s">
        <v>119</v>
      </c>
      <c r="E7" s="186">
        <v>28.25</v>
      </c>
      <c r="F7" s="277"/>
      <c r="H7" s="186"/>
      <c r="Q7" s="274" t="s">
        <v>91</v>
      </c>
      <c r="R7" s="247">
        <v>23.28</v>
      </c>
      <c r="T7" s="234">
        <f>MIN(R7:S7)</f>
        <v>23.28</v>
      </c>
    </row>
    <row r="8" spans="1:20" s="110" customFormat="1" x14ac:dyDescent="0.2">
      <c r="A8" s="274" t="s">
        <v>342</v>
      </c>
      <c r="B8" s="247">
        <v>23.53</v>
      </c>
      <c r="C8" s="247"/>
      <c r="D8" s="247" t="s">
        <v>289</v>
      </c>
      <c r="E8" s="186">
        <v>28.37</v>
      </c>
      <c r="F8" s="247" t="s">
        <v>367</v>
      </c>
      <c r="H8" s="186"/>
      <c r="Q8" s="274" t="s">
        <v>174</v>
      </c>
      <c r="R8" s="247">
        <v>24.33</v>
      </c>
      <c r="S8" s="245">
        <v>24.1</v>
      </c>
      <c r="T8" s="234">
        <f>MIN(R8:S8)</f>
        <v>24.1</v>
      </c>
    </row>
    <row r="9" spans="1:20" s="110" customFormat="1" x14ac:dyDescent="0.2">
      <c r="A9" s="274" t="s">
        <v>91</v>
      </c>
      <c r="B9" s="247">
        <v>23.52</v>
      </c>
      <c r="C9" s="247"/>
      <c r="D9" s="247" t="s">
        <v>90</v>
      </c>
      <c r="E9" s="247">
        <v>25.52</v>
      </c>
      <c r="F9" s="277"/>
      <c r="T9" s="234"/>
    </row>
    <row r="10" spans="1:20" s="110" customFormat="1" x14ac:dyDescent="0.2">
      <c r="C10" s="247"/>
      <c r="F10" s="247"/>
      <c r="G10" s="186"/>
      <c r="H10" s="247"/>
      <c r="T10" s="234"/>
    </row>
    <row r="11" spans="1:20" x14ac:dyDescent="0.2">
      <c r="A11" s="276" t="s">
        <v>132</v>
      </c>
      <c r="B11" s="163" t="s">
        <v>697</v>
      </c>
      <c r="C11" s="186"/>
      <c r="D11" s="237" t="s">
        <v>284</v>
      </c>
      <c r="E11" s="163" t="s">
        <v>698</v>
      </c>
      <c r="F11" s="186"/>
      <c r="G11" s="237" t="s">
        <v>303</v>
      </c>
      <c r="H11" s="163" t="s">
        <v>490</v>
      </c>
      <c r="M11" s="160" t="s">
        <v>287</v>
      </c>
      <c r="Q11" s="186" t="s">
        <v>78</v>
      </c>
      <c r="R11" s="110"/>
      <c r="S11" s="110"/>
      <c r="T11" s="245">
        <v>25.35</v>
      </c>
    </row>
    <row r="12" spans="1:20" s="110" customFormat="1" x14ac:dyDescent="0.2">
      <c r="A12" s="274" t="s">
        <v>66</v>
      </c>
      <c r="B12" s="247">
        <v>21.44</v>
      </c>
      <c r="C12" s="277"/>
      <c r="D12" s="328" t="s">
        <v>265</v>
      </c>
      <c r="E12" s="247">
        <v>26.18</v>
      </c>
      <c r="F12" s="186"/>
      <c r="G12" s="328" t="s">
        <v>290</v>
      </c>
      <c r="H12" s="247">
        <v>12.17</v>
      </c>
      <c r="J12"/>
      <c r="M12" s="184" t="s">
        <v>288</v>
      </c>
      <c r="Q12" s="247" t="s">
        <v>289</v>
      </c>
      <c r="T12" s="234">
        <v>26</v>
      </c>
    </row>
    <row r="13" spans="1:20" s="110" customFormat="1" x14ac:dyDescent="0.2">
      <c r="A13" s="247" t="s">
        <v>4</v>
      </c>
      <c r="B13" s="247">
        <v>21.16</v>
      </c>
      <c r="C13" s="247"/>
      <c r="D13" s="247" t="s">
        <v>7</v>
      </c>
      <c r="E13" s="247">
        <v>24.54</v>
      </c>
      <c r="F13" s="186"/>
      <c r="G13" s="247" t="s">
        <v>649</v>
      </c>
      <c r="H13" s="247">
        <v>15.23</v>
      </c>
      <c r="I13" s="184" t="s">
        <v>367</v>
      </c>
      <c r="J13"/>
      <c r="M13" s="184" t="s">
        <v>289</v>
      </c>
      <c r="Q13" s="247" t="s">
        <v>379</v>
      </c>
      <c r="R13" s="186">
        <v>26.45</v>
      </c>
      <c r="T13" s="234">
        <f>MIN(R13:S13)</f>
        <v>26.45</v>
      </c>
    </row>
    <row r="14" spans="1:20" s="110" customFormat="1" x14ac:dyDescent="0.2">
      <c r="A14" s="327" t="s">
        <v>26</v>
      </c>
      <c r="B14" s="186">
        <v>22.41</v>
      </c>
      <c r="C14" s="247"/>
      <c r="D14" s="247" t="s">
        <v>286</v>
      </c>
      <c r="E14" s="247">
        <v>30.41</v>
      </c>
      <c r="F14" s="186"/>
      <c r="G14" s="247" t="s">
        <v>371</v>
      </c>
      <c r="H14" s="247">
        <v>11.38</v>
      </c>
      <c r="I14" s="184" t="s">
        <v>367</v>
      </c>
      <c r="J14"/>
      <c r="M14" s="184" t="s">
        <v>290</v>
      </c>
      <c r="Q14" s="201" t="s">
        <v>119</v>
      </c>
      <c r="R14"/>
      <c r="S14" s="245">
        <v>31.34</v>
      </c>
      <c r="T14" s="234">
        <f>MIN(R14:S14)</f>
        <v>31.34</v>
      </c>
    </row>
    <row r="15" spans="1:20" x14ac:dyDescent="0.2">
      <c r="B15" s="186"/>
      <c r="C15" s="277"/>
      <c r="E15" s="247"/>
      <c r="F15" s="247"/>
      <c r="G15" s="247"/>
      <c r="H15" s="247"/>
      <c r="J15" s="184"/>
      <c r="K15" s="245"/>
      <c r="Q15" s="247" t="s">
        <v>90</v>
      </c>
      <c r="R15" s="186">
        <v>25.27</v>
      </c>
      <c r="S15" s="245">
        <v>25.11</v>
      </c>
      <c r="T15" s="234">
        <f>MIN(R15:S15)</f>
        <v>25.11</v>
      </c>
    </row>
    <row r="16" spans="1:20" s="110" customFormat="1" x14ac:dyDescent="0.2">
      <c r="A16" s="276" t="s">
        <v>675</v>
      </c>
      <c r="B16" s="163" t="s">
        <v>694</v>
      </c>
      <c r="C16" s="186"/>
      <c r="D16" s="276" t="s">
        <v>676</v>
      </c>
      <c r="E16" s="163" t="s">
        <v>695</v>
      </c>
      <c r="G16" s="237" t="s">
        <v>355</v>
      </c>
      <c r="H16" s="163" t="s">
        <v>699</v>
      </c>
      <c r="I16" s="186"/>
      <c r="J16" s="237" t="s">
        <v>688</v>
      </c>
      <c r="K16" s="163" t="s">
        <v>696</v>
      </c>
      <c r="M16" s="160" t="s">
        <v>291</v>
      </c>
      <c r="Q16"/>
      <c r="R16"/>
      <c r="S16"/>
      <c r="T16"/>
    </row>
    <row r="17" spans="1:25" s="110" customFormat="1" x14ac:dyDescent="0.2">
      <c r="A17" s="327" t="s">
        <v>343</v>
      </c>
      <c r="B17" s="186">
        <v>32.43</v>
      </c>
      <c r="C17" s="186"/>
      <c r="D17" s="274" t="s">
        <v>187</v>
      </c>
      <c r="E17" s="186">
        <v>39.049999999999997</v>
      </c>
      <c r="G17" s="328" t="s">
        <v>356</v>
      </c>
      <c r="H17" s="186">
        <v>24.44</v>
      </c>
      <c r="I17" s="186" t="s">
        <v>367</v>
      </c>
      <c r="J17" s="327" t="s">
        <v>689</v>
      </c>
      <c r="K17" s="247">
        <v>12.02</v>
      </c>
      <c r="L17" s="247" t="s">
        <v>367</v>
      </c>
      <c r="M17" s="184" t="s">
        <v>292</v>
      </c>
      <c r="R17"/>
      <c r="S17"/>
      <c r="T17" s="234"/>
    </row>
    <row r="18" spans="1:25" s="110" customFormat="1" x14ac:dyDescent="0.2">
      <c r="A18" s="247" t="s">
        <v>358</v>
      </c>
      <c r="B18" s="186">
        <v>26.19</v>
      </c>
      <c r="C18" s="186"/>
      <c r="D18" s="184" t="s">
        <v>687</v>
      </c>
      <c r="E18" s="186">
        <v>31.4</v>
      </c>
      <c r="F18" s="123"/>
      <c r="G18" s="247" t="s">
        <v>261</v>
      </c>
      <c r="H18" s="186">
        <v>28.23</v>
      </c>
      <c r="I18" s="186"/>
      <c r="J18" s="274" t="s">
        <v>668</v>
      </c>
      <c r="K18" s="247">
        <v>13.32</v>
      </c>
      <c r="L18" s="184" t="s">
        <v>367</v>
      </c>
      <c r="M18" s="184" t="s">
        <v>293</v>
      </c>
    </row>
    <row r="19" spans="1:25" s="110" customFormat="1" x14ac:dyDescent="0.2">
      <c r="A19" s="274" t="s">
        <v>295</v>
      </c>
      <c r="B19" s="186">
        <v>34.15</v>
      </c>
      <c r="C19" s="278"/>
      <c r="D19" s="329" t="s">
        <v>53</v>
      </c>
      <c r="E19" s="186">
        <v>41.11</v>
      </c>
      <c r="F19" s="123"/>
      <c r="G19" s="274" t="s">
        <v>118</v>
      </c>
      <c r="H19" s="186">
        <v>29.09</v>
      </c>
      <c r="I19" s="186"/>
      <c r="J19" s="247" t="s">
        <v>661</v>
      </c>
      <c r="K19" s="247">
        <v>15.5</v>
      </c>
      <c r="L19" s="184" t="s">
        <v>367</v>
      </c>
      <c r="M19" s="184" t="s">
        <v>294</v>
      </c>
      <c r="Q19" s="328" t="s">
        <v>265</v>
      </c>
      <c r="R19" s="247">
        <v>30.29</v>
      </c>
      <c r="S19" s="245">
        <v>25.5</v>
      </c>
      <c r="T19" s="234">
        <f>MIN(R19:S19)</f>
        <v>25.5</v>
      </c>
    </row>
    <row r="20" spans="1:25" x14ac:dyDescent="0.2">
      <c r="A20" s="247" t="s">
        <v>195</v>
      </c>
      <c r="B20" s="184">
        <v>27.03</v>
      </c>
      <c r="C20" s="186"/>
      <c r="F20" s="110"/>
      <c r="H20" s="186"/>
      <c r="I20" s="186"/>
      <c r="J20" s="110"/>
      <c r="Q20" s="247" t="s">
        <v>7</v>
      </c>
      <c r="S20" s="245">
        <v>24.17</v>
      </c>
      <c r="T20" s="234">
        <f>MIN(R20:S20)</f>
        <v>24.17</v>
      </c>
      <c r="V20" s="274" t="s">
        <v>96</v>
      </c>
      <c r="Y20" s="245">
        <v>21.35</v>
      </c>
    </row>
    <row r="21" spans="1:25" x14ac:dyDescent="0.2">
      <c r="C21" s="184"/>
      <c r="E21" s="193"/>
      <c r="F21" s="110"/>
      <c r="I21" s="110"/>
      <c r="J21" s="110"/>
      <c r="Q21" s="247" t="s">
        <v>286</v>
      </c>
      <c r="R21" s="186">
        <v>26.07</v>
      </c>
      <c r="S21" s="110"/>
      <c r="T21" s="234">
        <f>MIN(R21:S21)</f>
        <v>26.07</v>
      </c>
    </row>
    <row r="22" spans="1:25" x14ac:dyDescent="0.2">
      <c r="B22" s="247"/>
      <c r="H22" s="110"/>
      <c r="I22" s="110"/>
      <c r="J22" s="110"/>
      <c r="T22" s="234"/>
    </row>
    <row r="23" spans="1:25" x14ac:dyDescent="0.2">
      <c r="B23" s="247"/>
      <c r="H23" s="110"/>
      <c r="I23" s="110"/>
      <c r="J23" s="110"/>
      <c r="Q23" s="247" t="s">
        <v>6</v>
      </c>
      <c r="S23" s="245">
        <v>33.11</v>
      </c>
      <c r="T23" s="234">
        <f>MIN(R23:S23)</f>
        <v>33.11</v>
      </c>
    </row>
    <row r="24" spans="1:25" x14ac:dyDescent="0.2">
      <c r="G24" s="110"/>
      <c r="H24" s="110"/>
      <c r="I24" s="110"/>
      <c r="J24" s="110"/>
      <c r="Q24" s="247" t="s">
        <v>125</v>
      </c>
      <c r="R24" s="247">
        <v>31.19</v>
      </c>
      <c r="T24" s="234">
        <f>MIN(R24:S24)</f>
        <v>31.19</v>
      </c>
    </row>
    <row r="25" spans="1:25" x14ac:dyDescent="0.2">
      <c r="A25" t="s">
        <v>380</v>
      </c>
      <c r="B25" s="189" t="s">
        <v>657</v>
      </c>
      <c r="D25" s="189"/>
      <c r="E25" s="189"/>
      <c r="F25" s="274" t="s">
        <v>391</v>
      </c>
      <c r="H25" s="247" t="s">
        <v>189</v>
      </c>
      <c r="J25" s="274" t="s">
        <v>74</v>
      </c>
      <c r="K25" s="247"/>
      <c r="L25" s="274" t="s">
        <v>640</v>
      </c>
      <c r="Q25" s="247" t="s">
        <v>23</v>
      </c>
      <c r="S25" s="245">
        <v>33.44</v>
      </c>
      <c r="T25" s="234">
        <f>MIN(R25:S25)</f>
        <v>33.44</v>
      </c>
    </row>
    <row r="26" spans="1:25" x14ac:dyDescent="0.2">
      <c r="B26" s="189" t="s">
        <v>686</v>
      </c>
      <c r="D26" s="247" t="s">
        <v>386</v>
      </c>
      <c r="H26" s="274" t="s">
        <v>96</v>
      </c>
      <c r="J26" s="247" t="s">
        <v>125</v>
      </c>
      <c r="L26" s="189" t="s">
        <v>652</v>
      </c>
      <c r="T26" s="234"/>
    </row>
    <row r="27" spans="1:25" x14ac:dyDescent="0.2">
      <c r="D27" s="189"/>
      <c r="E27" s="189"/>
      <c r="G27" s="189"/>
      <c r="H27" s="189"/>
      <c r="J27" s="110"/>
      <c r="Q27" s="274" t="s">
        <v>66</v>
      </c>
      <c r="R27" s="247">
        <v>22.21</v>
      </c>
      <c r="T27" s="234">
        <f>MIN(R27:S27)</f>
        <v>22.21</v>
      </c>
    </row>
    <row r="28" spans="1:25" x14ac:dyDescent="0.2">
      <c r="A28" t="s">
        <v>398</v>
      </c>
      <c r="B28" s="189" t="s">
        <v>655</v>
      </c>
      <c r="D28" s="189"/>
      <c r="E28" s="189"/>
      <c r="G28" s="189"/>
      <c r="H28" s="189" t="s">
        <v>658</v>
      </c>
      <c r="K28" s="245"/>
      <c r="Q28" s="327" t="s">
        <v>26</v>
      </c>
      <c r="R28" s="247">
        <v>22.39</v>
      </c>
      <c r="S28" s="110"/>
      <c r="T28" s="234">
        <f>MIN(R28:S28)</f>
        <v>22.39</v>
      </c>
    </row>
    <row r="29" spans="1:25" x14ac:dyDescent="0.2">
      <c r="B29" s="247" t="s">
        <v>650</v>
      </c>
      <c r="C29" s="307"/>
      <c r="D29" s="247" t="s">
        <v>651</v>
      </c>
      <c r="E29" s="274" t="s">
        <v>656</v>
      </c>
      <c r="F29" s="307"/>
      <c r="G29" s="247" t="s">
        <v>653</v>
      </c>
      <c r="H29" s="274" t="s">
        <v>654</v>
      </c>
      <c r="I29" s="307"/>
      <c r="J29" s="274" t="s">
        <v>296</v>
      </c>
      <c r="Q29" s="328" t="s">
        <v>4</v>
      </c>
      <c r="R29" s="247">
        <v>21.04</v>
      </c>
      <c r="T29" s="234">
        <f>MIN(R29:S29)</f>
        <v>21.04</v>
      </c>
    </row>
    <row r="30" spans="1:25" ht="23.25" x14ac:dyDescent="0.35">
      <c r="A30" s="111" t="s">
        <v>647</v>
      </c>
    </row>
    <row r="31" spans="1:25" x14ac:dyDescent="0.2">
      <c r="A31" t="s">
        <v>395</v>
      </c>
      <c r="Q31" s="329" t="s">
        <v>53</v>
      </c>
      <c r="T31" s="234"/>
    </row>
    <row r="32" spans="1:25" x14ac:dyDescent="0.2">
      <c r="Q32" s="184" t="s">
        <v>687</v>
      </c>
      <c r="T32" s="234"/>
    </row>
    <row r="33" spans="1:20" x14ac:dyDescent="0.2">
      <c r="A33" s="160" t="s">
        <v>393</v>
      </c>
      <c r="B33" s="161" t="s">
        <v>479</v>
      </c>
      <c r="D33" s="160" t="s">
        <v>392</v>
      </c>
      <c r="E33" s="192" t="s">
        <v>480</v>
      </c>
      <c r="G33" s="160" t="s">
        <v>405</v>
      </c>
      <c r="H33" s="192" t="s">
        <v>365</v>
      </c>
      <c r="Q33" s="274" t="s">
        <v>187</v>
      </c>
      <c r="T33" s="234"/>
    </row>
    <row r="34" spans="1:20" s="110" customFormat="1" x14ac:dyDescent="0.2">
      <c r="A34" s="274" t="s">
        <v>342</v>
      </c>
      <c r="B34" s="247">
        <v>23.29</v>
      </c>
      <c r="C34" s="247"/>
      <c r="D34" s="247" t="s">
        <v>90</v>
      </c>
      <c r="E34" s="186">
        <v>25.27</v>
      </c>
      <c r="F34" s="277"/>
      <c r="G34" s="247" t="s">
        <v>125</v>
      </c>
      <c r="H34" s="247">
        <v>31.19</v>
      </c>
      <c r="T34" s="234"/>
    </row>
    <row r="35" spans="1:20" s="110" customFormat="1" x14ac:dyDescent="0.2">
      <c r="A35" s="274" t="s">
        <v>91</v>
      </c>
      <c r="B35" s="247">
        <v>23.28</v>
      </c>
      <c r="C35" s="247"/>
      <c r="D35" s="247" t="s">
        <v>265</v>
      </c>
      <c r="E35" s="247">
        <v>30.29</v>
      </c>
      <c r="F35" s="277"/>
      <c r="G35" s="247" t="s">
        <v>386</v>
      </c>
      <c r="H35" s="247">
        <v>36.39</v>
      </c>
      <c r="L35" s="123"/>
      <c r="T35" s="234"/>
    </row>
    <row r="36" spans="1:20" s="110" customFormat="1" x14ac:dyDescent="0.2">
      <c r="A36" s="274" t="s">
        <v>77</v>
      </c>
      <c r="B36" s="247">
        <v>22</v>
      </c>
      <c r="C36" s="247"/>
      <c r="D36" s="247" t="s">
        <v>286</v>
      </c>
      <c r="E36" s="186">
        <v>26.07</v>
      </c>
      <c r="F36" s="277"/>
      <c r="G36" s="247" t="s">
        <v>125</v>
      </c>
      <c r="H36" s="247">
        <v>34.19</v>
      </c>
      <c r="Q36" s="327" t="s">
        <v>343</v>
      </c>
      <c r="S36" s="193">
        <v>32.24</v>
      </c>
      <c r="T36" s="234">
        <f>MIN(R36:S36)</f>
        <v>32.24</v>
      </c>
    </row>
    <row r="37" spans="1:20" s="110" customFormat="1" x14ac:dyDescent="0.2">
      <c r="A37" s="274" t="s">
        <v>274</v>
      </c>
      <c r="B37" s="247">
        <v>24.21</v>
      </c>
      <c r="C37" s="247"/>
      <c r="D37" s="247" t="s">
        <v>379</v>
      </c>
      <c r="E37" s="186">
        <v>26.45</v>
      </c>
      <c r="F37" s="277"/>
      <c r="G37" s="247" t="s">
        <v>386</v>
      </c>
      <c r="H37" s="186"/>
      <c r="Q37" s="247" t="s">
        <v>358</v>
      </c>
      <c r="T37" s="234"/>
    </row>
    <row r="38" spans="1:20" s="110" customFormat="1" x14ac:dyDescent="0.2">
      <c r="A38" s="274" t="s">
        <v>174</v>
      </c>
      <c r="B38" s="247">
        <v>24.33</v>
      </c>
      <c r="C38" s="247"/>
      <c r="D38" s="186"/>
      <c r="E38" s="247"/>
      <c r="F38" s="277"/>
      <c r="G38" s="186"/>
      <c r="H38" s="186"/>
      <c r="Q38" s="247" t="s">
        <v>195</v>
      </c>
      <c r="T38" s="234"/>
    </row>
    <row r="39" spans="1:20" s="110" customFormat="1" x14ac:dyDescent="0.2">
      <c r="A39" s="275"/>
      <c r="B39" s="186"/>
      <c r="C39" s="247"/>
      <c r="D39" s="186"/>
      <c r="E39" s="247"/>
      <c r="F39" s="247"/>
      <c r="G39" s="186"/>
      <c r="H39" s="247"/>
      <c r="Q39" s="274" t="s">
        <v>295</v>
      </c>
      <c r="R39" s="186">
        <v>32.340000000000003</v>
      </c>
      <c r="T39" s="234">
        <f>MIN(R39:S39)</f>
        <v>32.340000000000003</v>
      </c>
    </row>
    <row r="40" spans="1:20" s="110" customFormat="1" x14ac:dyDescent="0.2">
      <c r="A40" s="275"/>
      <c r="B40" s="247"/>
      <c r="C40" s="247"/>
      <c r="D40" s="247"/>
      <c r="E40" s="247"/>
      <c r="F40" s="186"/>
      <c r="G40" s="186"/>
      <c r="H40" s="247"/>
      <c r="M40" s="160" t="s">
        <v>297</v>
      </c>
      <c r="Q40" s="186"/>
      <c r="T40" s="234"/>
    </row>
    <row r="41" spans="1:20" x14ac:dyDescent="0.2">
      <c r="A41" s="276" t="s">
        <v>132</v>
      </c>
      <c r="B41" s="163" t="s">
        <v>483</v>
      </c>
      <c r="C41" s="186"/>
      <c r="D41" s="237" t="s">
        <v>284</v>
      </c>
      <c r="E41" s="163" t="s">
        <v>484</v>
      </c>
      <c r="F41" s="186"/>
      <c r="G41" s="237" t="s">
        <v>303</v>
      </c>
      <c r="H41" s="163" t="s">
        <v>482</v>
      </c>
      <c r="M41" s="160" t="s">
        <v>287</v>
      </c>
      <c r="T41" s="234"/>
    </row>
    <row r="42" spans="1:20" s="110" customFormat="1" x14ac:dyDescent="0.2">
      <c r="A42" s="274" t="s">
        <v>26</v>
      </c>
      <c r="B42" s="247">
        <v>22.39</v>
      </c>
      <c r="C42" s="277"/>
      <c r="D42" s="247" t="s">
        <v>4</v>
      </c>
      <c r="E42" s="247">
        <v>21.04</v>
      </c>
      <c r="F42" s="186"/>
      <c r="G42" s="247" t="s">
        <v>290</v>
      </c>
      <c r="H42" s="247">
        <v>12.09</v>
      </c>
      <c r="J42"/>
      <c r="M42" s="184" t="s">
        <v>288</v>
      </c>
      <c r="Q42" s="328" t="s">
        <v>290</v>
      </c>
      <c r="R42" s="247">
        <v>12.09</v>
      </c>
      <c r="T42" s="234">
        <f>MIN(R42:S42)</f>
        <v>12.09</v>
      </c>
    </row>
    <row r="43" spans="1:20" s="110" customFormat="1" x14ac:dyDescent="0.2">
      <c r="A43" s="274" t="s">
        <v>66</v>
      </c>
      <c r="B43" s="247">
        <v>22.21</v>
      </c>
      <c r="C43" s="247"/>
      <c r="D43" s="247" t="s">
        <v>98</v>
      </c>
      <c r="E43" s="247">
        <v>23.04</v>
      </c>
      <c r="F43" s="186"/>
      <c r="G43" s="247" t="s">
        <v>289</v>
      </c>
      <c r="H43" s="247">
        <v>12.23</v>
      </c>
      <c r="J43"/>
      <c r="M43" s="184" t="s">
        <v>289</v>
      </c>
      <c r="Q43" s="247" t="s">
        <v>371</v>
      </c>
      <c r="R43" s="247">
        <v>12.08</v>
      </c>
      <c r="S43" s="245">
        <v>11.55</v>
      </c>
      <c r="T43" s="234">
        <f>MIN(R43:S43)</f>
        <v>11.55</v>
      </c>
    </row>
    <row r="44" spans="1:20" s="110" customFormat="1" x14ac:dyDescent="0.2">
      <c r="A44" s="274" t="s">
        <v>394</v>
      </c>
      <c r="B44" s="186">
        <v>23.57</v>
      </c>
      <c r="C44" s="247"/>
      <c r="D44" s="247" t="s">
        <v>28</v>
      </c>
      <c r="E44" s="247">
        <v>22.21</v>
      </c>
      <c r="F44" s="186"/>
      <c r="G44" s="247" t="s">
        <v>371</v>
      </c>
      <c r="H44" s="247">
        <v>12.08</v>
      </c>
      <c r="J44"/>
      <c r="M44" s="184" t="s">
        <v>290</v>
      </c>
      <c r="Q44" s="247" t="s">
        <v>649</v>
      </c>
      <c r="T44" s="234"/>
    </row>
    <row r="45" spans="1:20" x14ac:dyDescent="0.2">
      <c r="A45" s="275"/>
      <c r="B45" s="186"/>
      <c r="C45" s="277"/>
      <c r="D45" s="186"/>
      <c r="E45" s="247"/>
      <c r="F45" s="247"/>
      <c r="G45" s="247"/>
      <c r="H45" s="247"/>
      <c r="J45" s="184"/>
      <c r="K45" s="245"/>
      <c r="Q45" s="247"/>
      <c r="T45" s="234"/>
    </row>
    <row r="46" spans="1:20" x14ac:dyDescent="0.2">
      <c r="A46" s="275"/>
      <c r="B46" s="186"/>
      <c r="C46" s="186"/>
      <c r="D46" s="186"/>
      <c r="E46" s="186"/>
      <c r="F46" s="186"/>
      <c r="G46" s="186"/>
      <c r="H46" s="186"/>
      <c r="K46" s="110"/>
      <c r="T46" s="234"/>
    </row>
    <row r="47" spans="1:20" s="110" customFormat="1" x14ac:dyDescent="0.2">
      <c r="A47" s="276" t="s">
        <v>133</v>
      </c>
      <c r="B47" s="163" t="s">
        <v>481</v>
      </c>
      <c r="C47" s="186"/>
      <c r="D47" s="237" t="s">
        <v>355</v>
      </c>
      <c r="E47" s="163" t="s">
        <v>485</v>
      </c>
      <c r="F47" s="186"/>
      <c r="G47" s="186"/>
      <c r="H47" s="186"/>
      <c r="M47" s="160" t="s">
        <v>291</v>
      </c>
      <c r="Q47" s="328" t="s">
        <v>356</v>
      </c>
      <c r="R47" s="186">
        <v>24.52</v>
      </c>
      <c r="T47" s="234">
        <f>MIN(R47:S47)</f>
        <v>24.52</v>
      </c>
    </row>
    <row r="48" spans="1:20" s="110" customFormat="1" x14ac:dyDescent="0.2">
      <c r="A48" s="274" t="s">
        <v>55</v>
      </c>
      <c r="B48" s="186">
        <v>26.17</v>
      </c>
      <c r="C48" s="186"/>
      <c r="D48" s="247" t="s">
        <v>356</v>
      </c>
      <c r="E48" s="186">
        <v>24.52</v>
      </c>
      <c r="F48" s="186"/>
      <c r="G48" s="186"/>
      <c r="H48" s="186"/>
      <c r="M48" s="184" t="s">
        <v>292</v>
      </c>
      <c r="Q48" s="247" t="s">
        <v>261</v>
      </c>
      <c r="R48" s="186">
        <v>27.3</v>
      </c>
      <c r="T48" s="234">
        <f>MIN(R48:S48)</f>
        <v>27.3</v>
      </c>
    </row>
    <row r="49" spans="1:20" s="110" customFormat="1" x14ac:dyDescent="0.2">
      <c r="A49" s="274" t="s">
        <v>402</v>
      </c>
      <c r="B49" s="186">
        <v>33.1</v>
      </c>
      <c r="C49" s="186"/>
      <c r="D49" s="247" t="s">
        <v>118</v>
      </c>
      <c r="E49" s="186">
        <v>28.42</v>
      </c>
      <c r="F49" s="186"/>
      <c r="G49" s="186"/>
      <c r="H49" s="186"/>
      <c r="I49" s="123"/>
      <c r="M49" s="184" t="s">
        <v>293</v>
      </c>
      <c r="Q49" s="274" t="s">
        <v>118</v>
      </c>
      <c r="R49" s="186">
        <v>28.42</v>
      </c>
      <c r="T49" s="234">
        <f>MIN(R49:S49)</f>
        <v>28.42</v>
      </c>
    </row>
    <row r="50" spans="1:20" s="110" customFormat="1" x14ac:dyDescent="0.2">
      <c r="A50" s="274" t="s">
        <v>295</v>
      </c>
      <c r="B50" s="186">
        <v>32.340000000000003</v>
      </c>
      <c r="C50" s="278"/>
      <c r="D50" s="247" t="s">
        <v>261</v>
      </c>
      <c r="E50" s="186">
        <v>27.3</v>
      </c>
      <c r="F50" s="186"/>
      <c r="G50" s="186"/>
      <c r="H50" s="186"/>
      <c r="I50" s="123"/>
      <c r="M50" s="184" t="s">
        <v>294</v>
      </c>
    </row>
    <row r="51" spans="1:20" x14ac:dyDescent="0.2">
      <c r="A51" s="274" t="s">
        <v>296</v>
      </c>
      <c r="B51" s="186">
        <v>37.450000000000003</v>
      </c>
      <c r="C51" s="186"/>
      <c r="D51" s="186"/>
      <c r="E51" s="186"/>
      <c r="F51" s="186"/>
      <c r="G51" s="186"/>
      <c r="H51" s="186"/>
      <c r="I51" s="110"/>
      <c r="J51" s="110"/>
    </row>
    <row r="52" spans="1:20" x14ac:dyDescent="0.2">
      <c r="B52" s="193"/>
      <c r="C52" s="184"/>
      <c r="E52" s="193"/>
      <c r="F52" s="110"/>
      <c r="I52" s="110"/>
      <c r="J52" s="110"/>
    </row>
    <row r="53" spans="1:20" x14ac:dyDescent="0.2">
      <c r="G53" s="110"/>
      <c r="H53" s="110"/>
      <c r="I53" s="110"/>
      <c r="J53" s="110"/>
    </row>
    <row r="54" spans="1:20" x14ac:dyDescent="0.2">
      <c r="A54" t="s">
        <v>376</v>
      </c>
      <c r="G54" s="110"/>
      <c r="H54" s="110"/>
      <c r="I54" s="110"/>
      <c r="J54" s="110"/>
    </row>
    <row r="55" spans="1:20" x14ac:dyDescent="0.2">
      <c r="A55" t="s">
        <v>377</v>
      </c>
      <c r="G55" s="110"/>
      <c r="H55" s="110"/>
      <c r="I55" s="110"/>
      <c r="J55" s="110"/>
    </row>
    <row r="56" spans="1:20" x14ac:dyDescent="0.2">
      <c r="A56" t="s">
        <v>380</v>
      </c>
      <c r="B56" s="189" t="s">
        <v>396</v>
      </c>
      <c r="D56" s="189"/>
      <c r="E56" s="189"/>
      <c r="H56" s="189"/>
      <c r="J56" s="110"/>
    </row>
    <row r="57" spans="1:20" x14ac:dyDescent="0.2">
      <c r="B57" s="189" t="s">
        <v>397</v>
      </c>
      <c r="D57" s="189"/>
      <c r="E57" s="189"/>
      <c r="H57" s="189"/>
      <c r="J57" s="110"/>
    </row>
    <row r="58" spans="1:20" x14ac:dyDescent="0.2">
      <c r="B58" s="189" t="s">
        <v>399</v>
      </c>
      <c r="D58" s="189"/>
      <c r="E58" s="189"/>
      <c r="G58" s="189" t="s">
        <v>266</v>
      </c>
      <c r="H58" s="189"/>
      <c r="J58" s="110"/>
    </row>
    <row r="59" spans="1:20" x14ac:dyDescent="0.2">
      <c r="A59" t="s">
        <v>398</v>
      </c>
      <c r="B59" s="189" t="s">
        <v>404</v>
      </c>
      <c r="D59" s="189"/>
      <c r="E59" s="189"/>
      <c r="G59" s="189" t="s">
        <v>67</v>
      </c>
      <c r="H59" s="189"/>
      <c r="K59" s="245"/>
    </row>
    <row r="61" spans="1:20" ht="23.25" x14ac:dyDescent="0.35">
      <c r="A61" s="111" t="s">
        <v>499</v>
      </c>
    </row>
    <row r="62" spans="1:20" x14ac:dyDescent="0.2">
      <c r="A62" t="s">
        <v>486</v>
      </c>
    </row>
    <row r="64" spans="1:20" x14ac:dyDescent="0.2">
      <c r="A64" s="160" t="s">
        <v>281</v>
      </c>
      <c r="B64" s="161" t="s">
        <v>487</v>
      </c>
      <c r="D64" s="160" t="s">
        <v>488</v>
      </c>
      <c r="E64" s="192" t="s">
        <v>489</v>
      </c>
      <c r="G64" s="160" t="s">
        <v>392</v>
      </c>
      <c r="H64" s="192" t="s">
        <v>490</v>
      </c>
    </row>
    <row r="65" spans="1:13" s="184" customFormat="1" x14ac:dyDescent="0.2">
      <c r="A65" s="189" t="s">
        <v>94</v>
      </c>
      <c r="B65" s="245">
        <v>20.32</v>
      </c>
      <c r="C65" s="189"/>
      <c r="D65" s="184" t="s">
        <v>77</v>
      </c>
      <c r="E65" s="245">
        <v>22.29</v>
      </c>
      <c r="F65" s="175"/>
      <c r="G65" s="184" t="s">
        <v>5</v>
      </c>
      <c r="H65" s="245">
        <v>26.42</v>
      </c>
    </row>
    <row r="66" spans="1:13" s="184" customFormat="1" x14ac:dyDescent="0.2">
      <c r="A66" s="189" t="s">
        <v>342</v>
      </c>
      <c r="B66" s="245">
        <v>23.04</v>
      </c>
      <c r="C66" s="189"/>
      <c r="D66" s="184" t="s">
        <v>90</v>
      </c>
      <c r="E66" s="245">
        <v>25.11</v>
      </c>
      <c r="F66" s="175"/>
      <c r="G66" s="189" t="s">
        <v>265</v>
      </c>
      <c r="H66" s="245">
        <v>25.5</v>
      </c>
      <c r="L66" s="122"/>
    </row>
    <row r="67" spans="1:13" s="184" customFormat="1" x14ac:dyDescent="0.2">
      <c r="A67" s="189" t="s">
        <v>91</v>
      </c>
      <c r="B67" s="245">
        <v>24.23</v>
      </c>
      <c r="C67" s="189"/>
      <c r="D67" t="s">
        <v>73</v>
      </c>
      <c r="E67" s="245">
        <v>27</v>
      </c>
      <c r="F67" s="175"/>
      <c r="G67" s="184" t="s">
        <v>379</v>
      </c>
      <c r="H67" s="245">
        <v>28.29</v>
      </c>
    </row>
    <row r="68" spans="1:13" s="184" customFormat="1" x14ac:dyDescent="0.2">
      <c r="A68" s="189" t="s">
        <v>274</v>
      </c>
      <c r="B68" s="245">
        <v>22.46</v>
      </c>
      <c r="C68" s="189"/>
      <c r="D68" s="189" t="s">
        <v>74</v>
      </c>
      <c r="E68" s="245">
        <v>22.54</v>
      </c>
      <c r="F68" s="175"/>
      <c r="G68" s="184" t="s">
        <v>285</v>
      </c>
      <c r="H68" s="245">
        <v>28.35</v>
      </c>
    </row>
    <row r="69" spans="1:13" s="184" customFormat="1" x14ac:dyDescent="0.2">
      <c r="A69" s="189" t="s">
        <v>154</v>
      </c>
      <c r="B69" s="246">
        <v>21.05</v>
      </c>
      <c r="C69" s="189"/>
      <c r="D69" s="184" t="s">
        <v>66</v>
      </c>
      <c r="E69" s="245">
        <v>26.01</v>
      </c>
      <c r="F69" s="175"/>
      <c r="H69" s="245"/>
    </row>
    <row r="70" spans="1:13" s="184" customFormat="1" x14ac:dyDescent="0.2">
      <c r="A70" s="189" t="s">
        <v>78</v>
      </c>
      <c r="B70" s="245">
        <v>25.35</v>
      </c>
      <c r="C70" s="189"/>
      <c r="E70" s="245"/>
      <c r="F70" s="189"/>
      <c r="H70" s="245"/>
    </row>
    <row r="71" spans="1:13" s="184" customFormat="1" x14ac:dyDescent="0.2">
      <c r="B71" s="245"/>
      <c r="C71" s="189"/>
      <c r="D71" s="189"/>
      <c r="E71" s="245"/>
      <c r="H71" s="245"/>
      <c r="M71" s="160" t="s">
        <v>297</v>
      </c>
    </row>
    <row r="72" spans="1:13" x14ac:dyDescent="0.2">
      <c r="A72" s="160" t="s">
        <v>132</v>
      </c>
      <c r="B72" s="192" t="s">
        <v>491</v>
      </c>
      <c r="C72" s="184"/>
      <c r="D72" s="160" t="s">
        <v>284</v>
      </c>
      <c r="E72" s="192" t="s">
        <v>492</v>
      </c>
      <c r="G72" s="160" t="s">
        <v>493</v>
      </c>
      <c r="H72" s="192" t="s">
        <v>494</v>
      </c>
      <c r="M72" s="160" t="s">
        <v>287</v>
      </c>
    </row>
    <row r="73" spans="1:13" s="184" customFormat="1" x14ac:dyDescent="0.2">
      <c r="A73" s="189" t="s">
        <v>26</v>
      </c>
      <c r="B73" s="245">
        <v>22.51</v>
      </c>
      <c r="C73" s="175"/>
      <c r="D73" s="189" t="s">
        <v>7</v>
      </c>
      <c r="E73" s="245">
        <v>24.17</v>
      </c>
      <c r="G73" s="189" t="s">
        <v>290</v>
      </c>
      <c r="H73" s="245">
        <v>12.15</v>
      </c>
      <c r="J73"/>
      <c r="M73" s="184" t="s">
        <v>288</v>
      </c>
    </row>
    <row r="74" spans="1:13" s="184" customFormat="1" x14ac:dyDescent="0.2">
      <c r="A74" s="189" t="s">
        <v>174</v>
      </c>
      <c r="B74" s="245">
        <v>24.1</v>
      </c>
      <c r="C74" s="189"/>
      <c r="D74" s="189" t="s">
        <v>286</v>
      </c>
      <c r="E74" s="245">
        <v>27.26</v>
      </c>
      <c r="G74" s="189" t="s">
        <v>371</v>
      </c>
      <c r="H74" s="245">
        <v>11.55</v>
      </c>
      <c r="J74"/>
      <c r="M74" s="184" t="s">
        <v>289</v>
      </c>
    </row>
    <row r="75" spans="1:13" s="184" customFormat="1" x14ac:dyDescent="0.2">
      <c r="A75" s="189" t="s">
        <v>4</v>
      </c>
      <c r="B75" s="245">
        <v>21.28</v>
      </c>
      <c r="C75" s="189"/>
      <c r="D75" s="189" t="s">
        <v>28</v>
      </c>
      <c r="E75" s="189">
        <v>23.08</v>
      </c>
      <c r="G75" s="189" t="s">
        <v>368</v>
      </c>
      <c r="H75" s="245">
        <v>11.4</v>
      </c>
      <c r="J75"/>
      <c r="M75" s="184" t="s">
        <v>290</v>
      </c>
    </row>
    <row r="76" spans="1:13" x14ac:dyDescent="0.2">
      <c r="B76" s="245"/>
      <c r="C76" s="175"/>
      <c r="E76" s="245"/>
      <c r="F76" s="189"/>
      <c r="G76" s="189" t="s">
        <v>289</v>
      </c>
      <c r="H76" s="245">
        <v>12.59</v>
      </c>
      <c r="J76" s="184"/>
      <c r="K76" s="245"/>
    </row>
    <row r="77" spans="1:13" x14ac:dyDescent="0.2">
      <c r="A77" s="184"/>
      <c r="B77" s="184"/>
      <c r="C77" s="184"/>
      <c r="D77" s="184"/>
      <c r="E77" s="184"/>
      <c r="K77" s="184"/>
    </row>
    <row r="78" spans="1:13" s="184" customFormat="1" x14ac:dyDescent="0.2">
      <c r="A78" s="160" t="s">
        <v>133</v>
      </c>
      <c r="B78" s="192" t="s">
        <v>481</v>
      </c>
      <c r="D78" s="160" t="s">
        <v>355</v>
      </c>
      <c r="E78" s="192" t="s">
        <v>495</v>
      </c>
      <c r="F78"/>
      <c r="G78" s="160" t="s">
        <v>496</v>
      </c>
      <c r="H78" s="192" t="s">
        <v>497</v>
      </c>
      <c r="M78" s="160" t="s">
        <v>291</v>
      </c>
    </row>
    <row r="79" spans="1:13" s="184" customFormat="1" x14ac:dyDescent="0.2">
      <c r="A79" s="189" t="s">
        <v>52</v>
      </c>
      <c r="B79" s="193">
        <v>29.1</v>
      </c>
      <c r="D79" s="189" t="s">
        <v>101</v>
      </c>
      <c r="E79" s="193">
        <v>24.24</v>
      </c>
      <c r="G79" s="184" t="s">
        <v>119</v>
      </c>
      <c r="H79" s="245">
        <v>31.34</v>
      </c>
      <c r="M79" s="184" t="s">
        <v>292</v>
      </c>
    </row>
    <row r="80" spans="1:13" s="184" customFormat="1" x14ac:dyDescent="0.2">
      <c r="A80" s="189" t="s">
        <v>498</v>
      </c>
      <c r="B80" s="193">
        <v>31.25</v>
      </c>
      <c r="D80" s="189" t="s">
        <v>378</v>
      </c>
      <c r="E80" s="193">
        <v>25</v>
      </c>
      <c r="G80" s="184" t="s">
        <v>6</v>
      </c>
      <c r="H80" s="245">
        <v>33.11</v>
      </c>
      <c r="I80" s="122"/>
      <c r="M80" s="184" t="s">
        <v>293</v>
      </c>
    </row>
    <row r="81" spans="1:13" s="184" customFormat="1" x14ac:dyDescent="0.2">
      <c r="A81" s="189" t="s">
        <v>295</v>
      </c>
      <c r="B81" s="193">
        <v>35.56</v>
      </c>
      <c r="C81" s="122"/>
      <c r="D81" s="189" t="s">
        <v>356</v>
      </c>
      <c r="E81" s="193">
        <v>25.2</v>
      </c>
      <c r="G81" s="184" t="s">
        <v>23</v>
      </c>
      <c r="H81" s="245">
        <v>33.44</v>
      </c>
      <c r="I81" s="122"/>
      <c r="M81" s="184" t="s">
        <v>294</v>
      </c>
    </row>
    <row r="82" spans="1:13" x14ac:dyDescent="0.2">
      <c r="A82" s="189" t="s">
        <v>343</v>
      </c>
      <c r="B82" s="193">
        <v>32.24</v>
      </c>
      <c r="C82" s="184"/>
      <c r="E82" s="193"/>
      <c r="F82" s="184"/>
      <c r="G82" s="184" t="s">
        <v>296</v>
      </c>
      <c r="H82" s="245">
        <v>39.1</v>
      </c>
      <c r="I82" s="184"/>
      <c r="J82" s="184"/>
    </row>
    <row r="83" spans="1:13" x14ac:dyDescent="0.2">
      <c r="G83" s="184"/>
      <c r="H83" s="245"/>
      <c r="I83" s="184"/>
    </row>
    <row r="84" spans="1:13" x14ac:dyDescent="0.2">
      <c r="G84" s="184"/>
      <c r="H84" s="245"/>
      <c r="I84" s="184"/>
    </row>
    <row r="85" spans="1:13" ht="23.25" x14ac:dyDescent="0.35">
      <c r="A85" s="111" t="s">
        <v>500</v>
      </c>
    </row>
    <row r="86" spans="1:13" x14ac:dyDescent="0.2">
      <c r="A86" t="s">
        <v>352</v>
      </c>
    </row>
    <row r="88" spans="1:13" x14ac:dyDescent="0.2">
      <c r="A88" s="160" t="s">
        <v>281</v>
      </c>
      <c r="B88" s="161" t="s">
        <v>481</v>
      </c>
      <c r="D88" s="160" t="s">
        <v>303</v>
      </c>
      <c r="E88" s="192"/>
    </row>
    <row r="89" spans="1:13" s="110" customFormat="1" x14ac:dyDescent="0.2">
      <c r="A89" s="189" t="s">
        <v>26</v>
      </c>
      <c r="B89" s="245"/>
      <c r="C89" s="189"/>
      <c r="D89" s="189" t="s">
        <v>114</v>
      </c>
      <c r="E89" s="245"/>
      <c r="F89" s="172"/>
      <c r="G89" s="184"/>
      <c r="H89" s="171"/>
    </row>
    <row r="90" spans="1:13" s="110" customFormat="1" x14ac:dyDescent="0.2">
      <c r="A90" s="189" t="s">
        <v>285</v>
      </c>
      <c r="B90" s="245"/>
      <c r="C90" s="189"/>
      <c r="D90" s="189" t="s">
        <v>135</v>
      </c>
      <c r="E90" s="245"/>
      <c r="F90" s="172"/>
      <c r="G90" s="170"/>
      <c r="H90" s="171"/>
      <c r="L90" s="123"/>
    </row>
    <row r="91" spans="1:13" s="110" customFormat="1" x14ac:dyDescent="0.2">
      <c r="A91" s="189" t="s">
        <v>286</v>
      </c>
      <c r="B91" s="245"/>
      <c r="C91" s="189"/>
      <c r="D91" s="189" t="s">
        <v>266</v>
      </c>
      <c r="E91" s="245"/>
      <c r="F91" s="172"/>
      <c r="G91" s="189"/>
      <c r="H91" s="171"/>
    </row>
    <row r="92" spans="1:13" s="110" customFormat="1" x14ac:dyDescent="0.2">
      <c r="A92" s="189" t="s">
        <v>358</v>
      </c>
      <c r="B92" s="245"/>
      <c r="C92" s="189"/>
      <c r="D92" s="184"/>
      <c r="E92" s="245"/>
      <c r="F92" s="172"/>
      <c r="G92" s="189"/>
      <c r="H92" s="171"/>
    </row>
    <row r="93" spans="1:13" s="110" customFormat="1" x14ac:dyDescent="0.2">
      <c r="A93" s="189" t="s">
        <v>78</v>
      </c>
      <c r="B93" s="246"/>
      <c r="C93" s="189"/>
      <c r="D93" s="184"/>
      <c r="E93" s="245"/>
      <c r="F93" s="172"/>
      <c r="H93" s="171"/>
    </row>
    <row r="94" spans="1:13" s="110" customFormat="1" x14ac:dyDescent="0.2">
      <c r="A94" s="189" t="s">
        <v>265</v>
      </c>
      <c r="B94" s="245"/>
      <c r="C94" s="189"/>
      <c r="D94" s="184"/>
      <c r="E94" s="245"/>
      <c r="F94" s="170"/>
      <c r="H94" s="171"/>
    </row>
    <row r="95" spans="1:13" s="110" customFormat="1" x14ac:dyDescent="0.2">
      <c r="A95" s="184"/>
      <c r="B95" s="245"/>
      <c r="C95" s="189"/>
      <c r="D95" s="184"/>
      <c r="E95" s="245"/>
      <c r="F95" s="170"/>
      <c r="H95" s="171"/>
      <c r="M95" s="160" t="s">
        <v>297</v>
      </c>
    </row>
    <row r="96" spans="1:13" x14ac:dyDescent="0.2">
      <c r="A96" s="184"/>
      <c r="B96" s="193"/>
      <c r="C96" s="184"/>
      <c r="D96" s="184"/>
      <c r="E96" s="193"/>
      <c r="F96" s="110"/>
      <c r="G96" s="170"/>
      <c r="H96" s="168"/>
    </row>
    <row r="97" spans="1:13" x14ac:dyDescent="0.2">
      <c r="A97" s="160" t="s">
        <v>132</v>
      </c>
      <c r="B97" s="192" t="s">
        <v>350</v>
      </c>
      <c r="C97" s="184"/>
      <c r="D97" s="160" t="s">
        <v>284</v>
      </c>
      <c r="E97" s="192" t="s">
        <v>359</v>
      </c>
      <c r="M97" s="160" t="s">
        <v>287</v>
      </c>
    </row>
    <row r="98" spans="1:13" s="110" customFormat="1" x14ac:dyDescent="0.2">
      <c r="A98" s="189" t="s">
        <v>96</v>
      </c>
      <c r="B98" s="245">
        <v>21.35</v>
      </c>
      <c r="C98" s="175"/>
      <c r="D98" s="189" t="s">
        <v>7</v>
      </c>
      <c r="E98" s="245">
        <v>24.17</v>
      </c>
      <c r="M98" s="184" t="s">
        <v>288</v>
      </c>
    </row>
    <row r="99" spans="1:13" s="110" customFormat="1" x14ac:dyDescent="0.2">
      <c r="A99" s="189" t="s">
        <v>64</v>
      </c>
      <c r="B99" s="245">
        <v>20.32</v>
      </c>
      <c r="C99" s="189"/>
      <c r="D99" s="189" t="s">
        <v>27</v>
      </c>
      <c r="E99" s="245">
        <v>27.35</v>
      </c>
      <c r="M99" s="184" t="s">
        <v>289</v>
      </c>
    </row>
    <row r="100" spans="1:13" s="110" customFormat="1" x14ac:dyDescent="0.2">
      <c r="A100" s="189" t="s">
        <v>4</v>
      </c>
      <c r="B100" s="245">
        <v>21.4</v>
      </c>
      <c r="C100" s="189"/>
      <c r="D100" s="189" t="s">
        <v>28</v>
      </c>
      <c r="E100" s="245">
        <v>22.54</v>
      </c>
      <c r="M100" s="184" t="s">
        <v>290</v>
      </c>
    </row>
    <row r="101" spans="1:13" x14ac:dyDescent="0.2">
      <c r="A101" s="184"/>
      <c r="B101" s="245"/>
      <c r="C101" s="175"/>
      <c r="D101" s="184"/>
      <c r="E101" s="245"/>
      <c r="F101" s="170"/>
      <c r="H101" s="171"/>
    </row>
    <row r="102" spans="1:13" x14ac:dyDescent="0.2">
      <c r="A102" s="184"/>
      <c r="B102" s="184"/>
      <c r="C102" s="184"/>
      <c r="D102" s="184"/>
      <c r="E102" s="184"/>
      <c r="K102" s="110"/>
    </row>
    <row r="103" spans="1:13" s="110" customFormat="1" x14ac:dyDescent="0.2">
      <c r="A103" s="160" t="s">
        <v>133</v>
      </c>
      <c r="B103" s="192" t="s">
        <v>360</v>
      </c>
      <c r="C103" s="184"/>
      <c r="D103" s="160" t="s">
        <v>355</v>
      </c>
      <c r="E103" s="192" t="s">
        <v>350</v>
      </c>
      <c r="F103"/>
      <c r="G103"/>
      <c r="H103" s="168"/>
      <c r="M103" s="160" t="s">
        <v>291</v>
      </c>
    </row>
    <row r="104" spans="1:13" s="110" customFormat="1" x14ac:dyDescent="0.2">
      <c r="A104" s="189" t="s">
        <v>55</v>
      </c>
      <c r="B104" s="193">
        <v>26.1</v>
      </c>
      <c r="C104" s="184"/>
      <c r="D104" s="189" t="s">
        <v>261</v>
      </c>
      <c r="E104" s="193">
        <v>26.57</v>
      </c>
      <c r="H104" s="167"/>
      <c r="M104" s="184" t="s">
        <v>292</v>
      </c>
    </row>
    <row r="105" spans="1:13" s="110" customFormat="1" x14ac:dyDescent="0.2">
      <c r="A105" s="189" t="s">
        <v>118</v>
      </c>
      <c r="B105" s="193">
        <v>29.57</v>
      </c>
      <c r="C105" s="184"/>
      <c r="D105" s="189" t="s">
        <v>356</v>
      </c>
      <c r="E105" s="193">
        <v>25.24</v>
      </c>
      <c r="G105"/>
      <c r="H105"/>
      <c r="I105" s="123"/>
      <c r="M105" s="184" t="s">
        <v>293</v>
      </c>
    </row>
    <row r="106" spans="1:13" s="110" customFormat="1" x14ac:dyDescent="0.2">
      <c r="A106" s="189" t="s">
        <v>343</v>
      </c>
      <c r="B106" s="193">
        <v>36.43</v>
      </c>
      <c r="C106" s="122"/>
      <c r="D106" s="189" t="s">
        <v>101</v>
      </c>
      <c r="E106" s="193">
        <v>24.13</v>
      </c>
      <c r="G106"/>
      <c r="I106" s="123"/>
      <c r="M106" s="184" t="s">
        <v>294</v>
      </c>
    </row>
    <row r="107" spans="1:13" x14ac:dyDescent="0.2">
      <c r="A107" s="189" t="s">
        <v>53</v>
      </c>
      <c r="B107" s="193">
        <v>39.049999999999997</v>
      </c>
      <c r="C107" s="184"/>
      <c r="D107" s="191"/>
      <c r="E107" s="193"/>
      <c r="F107" s="110"/>
      <c r="G107" s="110"/>
      <c r="H107" s="110"/>
      <c r="I107" s="110"/>
      <c r="J107" s="110"/>
    </row>
    <row r="108" spans="1:13" x14ac:dyDescent="0.2">
      <c r="G108" s="110"/>
      <c r="H108" s="110"/>
      <c r="I108" s="110"/>
    </row>
    <row r="110" spans="1:13" ht="23.25" x14ac:dyDescent="0.35">
      <c r="A110" s="111" t="s">
        <v>501</v>
      </c>
    </row>
    <row r="111" spans="1:13" x14ac:dyDescent="0.2">
      <c r="A111" t="s">
        <v>354</v>
      </c>
    </row>
    <row r="112" spans="1:13" x14ac:dyDescent="0.2">
      <c r="A112" s="160" t="s">
        <v>281</v>
      </c>
      <c r="B112" s="161"/>
      <c r="D112" s="160" t="s">
        <v>282</v>
      </c>
      <c r="E112" s="124"/>
      <c r="G112" s="109" t="s">
        <v>131</v>
      </c>
      <c r="H112" s="124"/>
    </row>
    <row r="113" spans="1:9" x14ac:dyDescent="0.2">
      <c r="A113" s="189" t="s">
        <v>94</v>
      </c>
      <c r="B113" s="171">
        <v>20.239999999999998</v>
      </c>
      <c r="C113" s="170"/>
      <c r="D113" s="189" t="s">
        <v>78</v>
      </c>
      <c r="E113" s="171">
        <v>23.53</v>
      </c>
      <c r="F113" s="172"/>
      <c r="G113" s="184" t="s">
        <v>285</v>
      </c>
      <c r="H113" s="171">
        <v>25.3</v>
      </c>
      <c r="I113" s="110"/>
    </row>
    <row r="114" spans="1:9" x14ac:dyDescent="0.2">
      <c r="A114" s="191" t="s">
        <v>74</v>
      </c>
      <c r="B114" s="171">
        <v>21.28</v>
      </c>
      <c r="C114" s="170"/>
      <c r="D114" s="189" t="s">
        <v>265</v>
      </c>
      <c r="E114" s="171">
        <v>23.48</v>
      </c>
      <c r="F114" s="172"/>
      <c r="G114" s="170" t="s">
        <v>6</v>
      </c>
      <c r="H114" s="171">
        <v>29.41</v>
      </c>
      <c r="I114" s="110"/>
    </row>
    <row r="115" spans="1:9" x14ac:dyDescent="0.2">
      <c r="A115" s="189" t="s">
        <v>174</v>
      </c>
      <c r="B115" s="171">
        <v>21.36</v>
      </c>
      <c r="C115" s="170"/>
      <c r="D115" s="189" t="s">
        <v>90</v>
      </c>
      <c r="E115" s="171">
        <v>23.28</v>
      </c>
      <c r="F115" s="172"/>
      <c r="G115" s="189" t="s">
        <v>119</v>
      </c>
      <c r="H115" s="171">
        <v>26.16</v>
      </c>
      <c r="I115" s="110"/>
    </row>
    <row r="116" spans="1:9" x14ac:dyDescent="0.2">
      <c r="A116" s="184" t="s">
        <v>26</v>
      </c>
      <c r="B116" s="171">
        <v>22.28</v>
      </c>
      <c r="C116" s="170"/>
      <c r="D116" s="189" t="s">
        <v>286</v>
      </c>
      <c r="E116" s="171">
        <v>26.07</v>
      </c>
      <c r="F116" s="172"/>
      <c r="G116" s="189" t="s">
        <v>5</v>
      </c>
      <c r="H116" s="171">
        <v>25.22</v>
      </c>
      <c r="I116" s="110"/>
    </row>
    <row r="117" spans="1:9" x14ac:dyDescent="0.2">
      <c r="A117" s="191" t="s">
        <v>77</v>
      </c>
      <c r="B117" s="173">
        <v>21.33</v>
      </c>
      <c r="C117" s="170"/>
      <c r="D117" s="189" t="s">
        <v>28</v>
      </c>
      <c r="E117" s="171">
        <v>21.48</v>
      </c>
      <c r="F117" s="172"/>
      <c r="G117" s="110"/>
      <c r="H117" s="171"/>
      <c r="I117" s="110"/>
    </row>
    <row r="118" spans="1:9" x14ac:dyDescent="0.2">
      <c r="A118" s="189" t="s">
        <v>66</v>
      </c>
      <c r="B118" s="171">
        <v>19.45</v>
      </c>
      <c r="C118" s="170"/>
      <c r="D118" s="110"/>
      <c r="E118" s="171"/>
      <c r="F118" s="170"/>
      <c r="G118" s="110"/>
      <c r="H118" s="171"/>
      <c r="I118" s="110"/>
    </row>
    <row r="119" spans="1:9" x14ac:dyDescent="0.2">
      <c r="A119" s="110"/>
      <c r="B119" s="171"/>
      <c r="C119" s="170"/>
      <c r="D119" s="110"/>
      <c r="E119" s="171"/>
      <c r="F119" s="170"/>
      <c r="G119" s="110"/>
      <c r="H119" s="171"/>
      <c r="I119" s="110"/>
    </row>
    <row r="120" spans="1:9" x14ac:dyDescent="0.2">
      <c r="B120" s="168"/>
      <c r="E120" s="168"/>
      <c r="F120" s="110"/>
      <c r="G120" s="170"/>
      <c r="H120" s="168"/>
    </row>
    <row r="121" spans="1:9" x14ac:dyDescent="0.2">
      <c r="A121" s="160" t="s">
        <v>303</v>
      </c>
      <c r="B121" s="169"/>
      <c r="D121" s="109" t="s">
        <v>132</v>
      </c>
      <c r="E121" s="192" t="s">
        <v>302</v>
      </c>
      <c r="G121" s="160" t="s">
        <v>284</v>
      </c>
      <c r="H121" s="192" t="s">
        <v>302</v>
      </c>
    </row>
    <row r="122" spans="1:9" x14ac:dyDescent="0.2">
      <c r="A122" s="170" t="s">
        <v>151</v>
      </c>
      <c r="B122" s="171">
        <v>11.24</v>
      </c>
      <c r="C122" s="170"/>
      <c r="D122" s="189" t="s">
        <v>93</v>
      </c>
      <c r="E122" s="171">
        <v>21.59</v>
      </c>
      <c r="F122" s="172"/>
      <c r="G122" s="189" t="s">
        <v>98</v>
      </c>
      <c r="H122" s="171">
        <v>22.46</v>
      </c>
      <c r="I122" s="110"/>
    </row>
    <row r="123" spans="1:9" x14ac:dyDescent="0.2">
      <c r="A123" s="189" t="s">
        <v>266</v>
      </c>
      <c r="B123" s="171">
        <v>11.1</v>
      </c>
      <c r="C123" s="170"/>
      <c r="D123" s="189" t="s">
        <v>4</v>
      </c>
      <c r="E123" s="171">
        <v>21.04</v>
      </c>
      <c r="F123" s="170"/>
      <c r="G123" s="189" t="s">
        <v>7</v>
      </c>
      <c r="H123" s="171">
        <v>24.15</v>
      </c>
      <c r="I123" s="110"/>
    </row>
    <row r="124" spans="1:9" x14ac:dyDescent="0.2">
      <c r="A124" s="189" t="s">
        <v>114</v>
      </c>
      <c r="B124" s="171">
        <v>10</v>
      </c>
      <c r="C124" s="172"/>
      <c r="D124" s="189" t="s">
        <v>96</v>
      </c>
      <c r="E124" s="171">
        <v>21.48</v>
      </c>
      <c r="F124" s="170"/>
      <c r="G124" s="189" t="s">
        <v>27</v>
      </c>
      <c r="H124" s="171">
        <v>23.21</v>
      </c>
      <c r="I124" s="110"/>
    </row>
    <row r="125" spans="1:9" x14ac:dyDescent="0.2">
      <c r="B125" s="174"/>
      <c r="C125" s="175"/>
      <c r="E125" s="171"/>
      <c r="F125" s="170"/>
      <c r="H125" s="171"/>
    </row>
    <row r="127" spans="1:9" x14ac:dyDescent="0.2">
      <c r="A127" s="109" t="s">
        <v>133</v>
      </c>
      <c r="B127" s="169"/>
      <c r="D127" s="160" t="s">
        <v>300</v>
      </c>
      <c r="E127" s="169"/>
      <c r="H127" s="168"/>
      <c r="I127" s="110"/>
    </row>
    <row r="128" spans="1:9" x14ac:dyDescent="0.2">
      <c r="A128" s="184" t="s">
        <v>278</v>
      </c>
      <c r="B128" s="167">
        <v>25.58</v>
      </c>
      <c r="C128" s="110"/>
      <c r="D128" s="170" t="s">
        <v>23</v>
      </c>
      <c r="E128" s="167">
        <v>31.01</v>
      </c>
      <c r="F128" s="110"/>
      <c r="G128" s="110"/>
      <c r="H128" s="167"/>
      <c r="I128" s="110"/>
    </row>
    <row r="129" spans="1:9" x14ac:dyDescent="0.2">
      <c r="A129" s="184" t="s">
        <v>295</v>
      </c>
      <c r="B129" s="167">
        <v>34.4</v>
      </c>
      <c r="C129" s="110"/>
      <c r="D129" s="189" t="s">
        <v>301</v>
      </c>
      <c r="E129" s="167">
        <v>25</v>
      </c>
      <c r="F129" s="110"/>
      <c r="I129" s="123"/>
    </row>
    <row r="130" spans="1:9" x14ac:dyDescent="0.2">
      <c r="A130" s="184" t="s">
        <v>296</v>
      </c>
      <c r="B130" s="167">
        <v>39.01</v>
      </c>
      <c r="C130" s="123"/>
      <c r="D130" s="191" t="s">
        <v>187</v>
      </c>
      <c r="E130" s="167">
        <v>33.36</v>
      </c>
      <c r="F130" s="110"/>
      <c r="H130" s="110"/>
      <c r="I130" s="123"/>
    </row>
    <row r="131" spans="1:9" x14ac:dyDescent="0.2">
      <c r="A131" s="110" t="s">
        <v>118</v>
      </c>
      <c r="B131" s="167">
        <v>29.16</v>
      </c>
      <c r="C131" s="110"/>
      <c r="D131" s="191" t="s">
        <v>298</v>
      </c>
      <c r="E131" s="193">
        <v>27.32</v>
      </c>
      <c r="F131" s="110"/>
      <c r="G131" s="110"/>
      <c r="H131" s="110"/>
      <c r="I131" s="110"/>
    </row>
  </sheetData>
  <phoneticPr fontId="12" type="noConversion"/>
  <pageMargins left="0.74803149606299213" right="0.74803149606299213" top="0.98425196850393704" bottom="0.98425196850393704" header="0.51181102362204722" footer="0.51181102362204722"/>
  <pageSetup paperSize="9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R127"/>
  <sheetViews>
    <sheetView showGridLines="0" workbookViewId="0">
      <selection activeCell="A4" sqref="A4"/>
    </sheetView>
  </sheetViews>
  <sheetFormatPr defaultRowHeight="12.75" x14ac:dyDescent="0.2"/>
  <cols>
    <col min="1" max="1" width="19" customWidth="1"/>
    <col min="2" max="2" width="9.140625" style="234" customWidth="1"/>
    <col min="3" max="3" width="12.85546875" customWidth="1"/>
    <col min="4" max="4" width="18.42578125" customWidth="1"/>
    <col min="5" max="5" width="8.85546875" style="234" customWidth="1"/>
    <col min="6" max="6" width="13.140625" customWidth="1"/>
    <col min="7" max="7" width="19" customWidth="1"/>
    <col min="8" max="8" width="9.28515625" style="234" customWidth="1"/>
    <col min="9" max="9" width="5.42578125" customWidth="1"/>
    <col min="10" max="10" width="17" customWidth="1"/>
    <col min="12" max="12" width="5.42578125" customWidth="1"/>
    <col min="13" max="13" width="15.7109375" customWidth="1"/>
    <col min="15" max="15" width="5.5703125" customWidth="1"/>
  </cols>
  <sheetData>
    <row r="1" spans="1:18" ht="23.25" x14ac:dyDescent="0.35">
      <c r="A1" s="111" t="s">
        <v>304</v>
      </c>
    </row>
    <row r="2" spans="1:18" x14ac:dyDescent="0.2">
      <c r="A2" s="184" t="s">
        <v>959</v>
      </c>
      <c r="M2" t="s">
        <v>702</v>
      </c>
      <c r="N2" t="s">
        <v>703</v>
      </c>
      <c r="O2" t="s">
        <v>704</v>
      </c>
      <c r="P2" t="s">
        <v>705</v>
      </c>
      <c r="Q2" t="s">
        <v>706</v>
      </c>
      <c r="R2" t="s">
        <v>707</v>
      </c>
    </row>
    <row r="3" spans="1:18" x14ac:dyDescent="0.2">
      <c r="M3" t="s">
        <v>437</v>
      </c>
      <c r="N3" t="s">
        <v>511</v>
      </c>
      <c r="O3" t="s">
        <v>717</v>
      </c>
      <c r="P3" s="338">
        <v>24155</v>
      </c>
      <c r="Q3">
        <v>51</v>
      </c>
      <c r="R3">
        <v>1838</v>
      </c>
    </row>
    <row r="4" spans="1:18" x14ac:dyDescent="0.2">
      <c r="A4" s="160" t="s">
        <v>567</v>
      </c>
      <c r="B4" s="163" t="s">
        <v>349</v>
      </c>
      <c r="D4" s="160" t="s">
        <v>570</v>
      </c>
      <c r="E4" s="163"/>
      <c r="M4" t="s">
        <v>437</v>
      </c>
      <c r="N4" t="s">
        <v>473</v>
      </c>
      <c r="O4" t="s">
        <v>723</v>
      </c>
      <c r="P4" s="338">
        <v>33252</v>
      </c>
      <c r="Q4">
        <v>26</v>
      </c>
      <c r="R4">
        <v>1478</v>
      </c>
    </row>
    <row r="5" spans="1:18" s="110" customFormat="1" x14ac:dyDescent="0.2">
      <c r="A5" s="201" t="s">
        <v>264</v>
      </c>
      <c r="B5" s="247">
        <v>21.04</v>
      </c>
      <c r="C5" s="189"/>
      <c r="D5" s="184" t="s">
        <v>25</v>
      </c>
      <c r="E5" s="247">
        <v>26.24</v>
      </c>
      <c r="G5"/>
      <c r="H5" s="234"/>
      <c r="I5" s="189"/>
      <c r="M5" t="s">
        <v>423</v>
      </c>
      <c r="N5" t="s">
        <v>727</v>
      </c>
      <c r="O5" t="s">
        <v>717</v>
      </c>
      <c r="P5" s="338">
        <v>37360</v>
      </c>
      <c r="Q5">
        <v>15</v>
      </c>
      <c r="R5">
        <v>2156</v>
      </c>
    </row>
    <row r="6" spans="1:18" s="110" customFormat="1" x14ac:dyDescent="0.2">
      <c r="A6" s="189" t="s">
        <v>266</v>
      </c>
      <c r="B6" s="247">
        <v>20.49</v>
      </c>
      <c r="C6" s="189" t="s">
        <v>367</v>
      </c>
      <c r="D6" s="189" t="s">
        <v>286</v>
      </c>
      <c r="E6" s="247">
        <v>28.08</v>
      </c>
      <c r="G6"/>
      <c r="H6" s="234"/>
      <c r="I6" s="189"/>
      <c r="M6" t="s">
        <v>423</v>
      </c>
      <c r="N6" t="s">
        <v>424</v>
      </c>
      <c r="O6" t="s">
        <v>723</v>
      </c>
      <c r="P6" s="338">
        <v>24124</v>
      </c>
      <c r="Q6">
        <v>51</v>
      </c>
      <c r="R6">
        <v>503</v>
      </c>
    </row>
    <row r="7" spans="1:18" s="110" customFormat="1" x14ac:dyDescent="0.2">
      <c r="A7" s="189" t="s">
        <v>942</v>
      </c>
      <c r="B7" s="247">
        <v>22.38</v>
      </c>
      <c r="C7" s="189" t="s">
        <v>367</v>
      </c>
      <c r="D7" s="189" t="s">
        <v>6</v>
      </c>
      <c r="E7" s="247">
        <v>32.020000000000003</v>
      </c>
      <c r="G7"/>
      <c r="H7" s="234"/>
      <c r="I7" s="189"/>
      <c r="L7" s="231"/>
      <c r="M7" t="s">
        <v>438</v>
      </c>
      <c r="N7" t="s">
        <v>474</v>
      </c>
      <c r="O7" t="s">
        <v>723</v>
      </c>
      <c r="P7" t="str">
        <f>"02/07/1978"</f>
        <v>02/07/1978</v>
      </c>
      <c r="Q7">
        <v>39</v>
      </c>
      <c r="R7">
        <v>2111</v>
      </c>
    </row>
    <row r="8" spans="1:18" s="110" customFormat="1" x14ac:dyDescent="0.2">
      <c r="A8" s="189" t="s">
        <v>956</v>
      </c>
      <c r="B8" s="299">
        <v>22.59</v>
      </c>
      <c r="C8" s="189" t="s">
        <v>367</v>
      </c>
      <c r="D8" s="189" t="s">
        <v>379</v>
      </c>
      <c r="E8" s="247">
        <v>25.13</v>
      </c>
      <c r="F8" s="184"/>
      <c r="G8"/>
      <c r="H8" s="234"/>
      <c r="I8" s="189"/>
      <c r="M8" t="s">
        <v>875</v>
      </c>
      <c r="N8" t="s">
        <v>521</v>
      </c>
      <c r="O8" t="s">
        <v>723</v>
      </c>
      <c r="P8" t="str">
        <f>"04/12/1975"</f>
        <v>04/12/1975</v>
      </c>
      <c r="Q8">
        <v>42</v>
      </c>
      <c r="R8">
        <v>2594</v>
      </c>
    </row>
    <row r="9" spans="1:18" s="110" customFormat="1" x14ac:dyDescent="0.2">
      <c r="A9" s="189" t="s">
        <v>77</v>
      </c>
      <c r="B9" s="247">
        <v>21.33</v>
      </c>
      <c r="C9" s="170"/>
      <c r="D9" s="189" t="s">
        <v>53</v>
      </c>
      <c r="E9" s="299">
        <v>38.270000000000003</v>
      </c>
      <c r="F9" s="189" t="s">
        <v>367</v>
      </c>
      <c r="H9" s="125"/>
      <c r="I9" s="184"/>
      <c r="M9" t="s">
        <v>881</v>
      </c>
      <c r="N9" t="s">
        <v>882</v>
      </c>
      <c r="O9" t="s">
        <v>723</v>
      </c>
      <c r="P9" s="338">
        <v>36089</v>
      </c>
      <c r="Q9">
        <v>19</v>
      </c>
      <c r="R9">
        <v>2688</v>
      </c>
    </row>
    <row r="10" spans="1:18" s="110" customFormat="1" x14ac:dyDescent="0.2">
      <c r="B10" s="235"/>
      <c r="C10" s="170"/>
      <c r="E10" s="247"/>
      <c r="F10" s="172"/>
      <c r="H10" s="235"/>
      <c r="M10" t="s">
        <v>425</v>
      </c>
      <c r="N10" t="s">
        <v>426</v>
      </c>
      <c r="O10" t="s">
        <v>723</v>
      </c>
      <c r="P10" s="338">
        <v>28651</v>
      </c>
      <c r="Q10">
        <v>39</v>
      </c>
      <c r="R10">
        <v>1756</v>
      </c>
    </row>
    <row r="11" spans="1:18" x14ac:dyDescent="0.2">
      <c r="A11" s="160" t="s">
        <v>307</v>
      </c>
      <c r="B11" s="163" t="s">
        <v>982</v>
      </c>
      <c r="D11" s="160" t="s">
        <v>308</v>
      </c>
      <c r="E11" s="163" t="s">
        <v>349</v>
      </c>
      <c r="M11" t="s">
        <v>462</v>
      </c>
      <c r="N11" t="s">
        <v>889</v>
      </c>
      <c r="O11" t="s">
        <v>723</v>
      </c>
      <c r="P11" s="338">
        <v>16670</v>
      </c>
      <c r="Q11">
        <v>72</v>
      </c>
    </row>
    <row r="12" spans="1:18" s="110" customFormat="1" x14ac:dyDescent="0.2">
      <c r="A12" s="184" t="s">
        <v>78</v>
      </c>
      <c r="B12" s="186">
        <v>23.59</v>
      </c>
      <c r="C12" s="184" t="s">
        <v>367</v>
      </c>
      <c r="D12" s="201" t="s">
        <v>28</v>
      </c>
      <c r="E12" s="186">
        <v>22.42</v>
      </c>
      <c r="F12" s="170"/>
      <c r="H12" s="125"/>
      <c r="M12" t="s">
        <v>462</v>
      </c>
      <c r="N12" t="s">
        <v>680</v>
      </c>
      <c r="O12" t="s">
        <v>723</v>
      </c>
      <c r="P12" s="338">
        <v>31315</v>
      </c>
      <c r="Q12">
        <v>32</v>
      </c>
      <c r="R12">
        <v>2546</v>
      </c>
    </row>
    <row r="13" spans="1:18" s="110" customFormat="1" x14ac:dyDescent="0.2">
      <c r="A13" s="189" t="s">
        <v>391</v>
      </c>
      <c r="B13" s="186">
        <v>23.25</v>
      </c>
      <c r="C13" s="184" t="s">
        <v>367</v>
      </c>
      <c r="D13" s="189" t="s">
        <v>96</v>
      </c>
      <c r="E13" s="247">
        <v>23.06</v>
      </c>
      <c r="F13" s="170"/>
      <c r="H13" s="125"/>
      <c r="I13" s="184"/>
      <c r="M13" t="s">
        <v>462</v>
      </c>
      <c r="N13" t="s">
        <v>461</v>
      </c>
      <c r="O13" t="s">
        <v>723</v>
      </c>
      <c r="P13" s="338">
        <v>30239</v>
      </c>
      <c r="Q13">
        <v>35</v>
      </c>
      <c r="R13">
        <v>1797</v>
      </c>
    </row>
    <row r="14" spans="1:18" s="110" customFormat="1" x14ac:dyDescent="0.2">
      <c r="A14" s="189" t="s">
        <v>7</v>
      </c>
      <c r="B14" s="125">
        <v>24.47</v>
      </c>
      <c r="D14" s="189" t="s">
        <v>4</v>
      </c>
      <c r="E14" s="247">
        <v>22.2</v>
      </c>
      <c r="F14" s="189"/>
      <c r="H14" s="125"/>
      <c r="M14" t="s">
        <v>462</v>
      </c>
      <c r="N14" t="s">
        <v>521</v>
      </c>
      <c r="O14" t="s">
        <v>723</v>
      </c>
      <c r="P14" s="338">
        <v>32443</v>
      </c>
      <c r="Q14">
        <v>29</v>
      </c>
      <c r="R14">
        <v>2406</v>
      </c>
    </row>
    <row r="15" spans="1:18" x14ac:dyDescent="0.2">
      <c r="B15" s="247"/>
      <c r="C15" s="170"/>
      <c r="M15" t="s">
        <v>745</v>
      </c>
      <c r="N15" t="s">
        <v>746</v>
      </c>
      <c r="O15" t="s">
        <v>723</v>
      </c>
      <c r="P15" s="346">
        <v>27179</v>
      </c>
      <c r="Q15">
        <v>43</v>
      </c>
      <c r="R15">
        <v>2076</v>
      </c>
    </row>
    <row r="16" spans="1:18" x14ac:dyDescent="0.2">
      <c r="G16" s="110"/>
      <c r="H16" s="125"/>
      <c r="K16" s="110"/>
      <c r="M16" t="s">
        <v>752</v>
      </c>
      <c r="N16" t="s">
        <v>753</v>
      </c>
      <c r="O16" t="s">
        <v>723</v>
      </c>
      <c r="P16" s="346">
        <v>21836</v>
      </c>
      <c r="Q16">
        <v>58</v>
      </c>
      <c r="R16">
        <v>2216</v>
      </c>
    </row>
    <row r="17" spans="1:18" s="110" customFormat="1" x14ac:dyDescent="0.2">
      <c r="A17" s="160" t="s">
        <v>960</v>
      </c>
      <c r="B17" s="163"/>
      <c r="C17"/>
      <c r="D17" s="160" t="s">
        <v>362</v>
      </c>
      <c r="E17" s="163" t="s">
        <v>350</v>
      </c>
      <c r="F17"/>
      <c r="M17" t="s">
        <v>970</v>
      </c>
      <c r="N17" t="s">
        <v>971</v>
      </c>
      <c r="O17" t="s">
        <v>723</v>
      </c>
      <c r="P17" s="346">
        <v>36922</v>
      </c>
      <c r="Q17">
        <v>16</v>
      </c>
      <c r="R17">
        <v>2753</v>
      </c>
    </row>
    <row r="18" spans="1:18" s="110" customFormat="1" x14ac:dyDescent="0.2">
      <c r="A18" s="202" t="s">
        <v>118</v>
      </c>
      <c r="B18" s="186">
        <v>29.07</v>
      </c>
      <c r="C18" s="184"/>
      <c r="D18" s="202" t="s">
        <v>356</v>
      </c>
      <c r="E18" s="186">
        <v>24.3</v>
      </c>
      <c r="F18" s="184"/>
      <c r="M18" t="s">
        <v>674</v>
      </c>
      <c r="N18" t="s">
        <v>521</v>
      </c>
      <c r="O18" t="s">
        <v>723</v>
      </c>
      <c r="P18" s="347" t="str">
        <f>"03/05/1966"</f>
        <v>03/05/1966</v>
      </c>
      <c r="Q18">
        <v>51</v>
      </c>
      <c r="R18">
        <v>1205</v>
      </c>
    </row>
    <row r="19" spans="1:18" s="110" customFormat="1" x14ac:dyDescent="0.2">
      <c r="A19" t="s">
        <v>358</v>
      </c>
      <c r="B19" s="186">
        <v>27.37</v>
      </c>
      <c r="C19" s="184" t="s">
        <v>367</v>
      </c>
      <c r="D19" s="184" t="s">
        <v>195</v>
      </c>
      <c r="E19" s="186">
        <v>25.47</v>
      </c>
      <c r="F19" s="184" t="s">
        <v>367</v>
      </c>
      <c r="G19" s="202"/>
      <c r="H19" s="125"/>
      <c r="I19" s="123"/>
      <c r="M19" t="s">
        <v>439</v>
      </c>
      <c r="N19" t="s">
        <v>440</v>
      </c>
      <c r="O19" t="s">
        <v>723</v>
      </c>
      <c r="P19" s="346">
        <v>23122</v>
      </c>
      <c r="Q19">
        <v>54</v>
      </c>
      <c r="R19">
        <v>2604</v>
      </c>
    </row>
    <row r="20" spans="1:18" s="110" customFormat="1" x14ac:dyDescent="0.2">
      <c r="A20" s="184" t="s">
        <v>661</v>
      </c>
      <c r="B20" s="186">
        <v>34.14</v>
      </c>
      <c r="C20" s="184" t="s">
        <v>367</v>
      </c>
      <c r="D20" s="184" t="s">
        <v>101</v>
      </c>
      <c r="E20" s="186">
        <v>24.56</v>
      </c>
      <c r="F20" s="184"/>
      <c r="H20" s="348"/>
      <c r="I20" s="123"/>
      <c r="M20" t="s">
        <v>906</v>
      </c>
      <c r="N20" t="s">
        <v>907</v>
      </c>
      <c r="O20" t="s">
        <v>717</v>
      </c>
      <c r="P20" s="347" t="str">
        <f>"02/03/1936"</f>
        <v>02/03/1936</v>
      </c>
      <c r="Q20">
        <v>81</v>
      </c>
      <c r="R20"/>
    </row>
    <row r="21" spans="1:18" x14ac:dyDescent="0.2">
      <c r="A21" s="184" t="s">
        <v>343</v>
      </c>
      <c r="B21" s="186">
        <v>31.36</v>
      </c>
      <c r="C21" s="184" t="s">
        <v>367</v>
      </c>
      <c r="D21" s="184"/>
      <c r="E21" s="275"/>
      <c r="F21" s="110"/>
      <c r="I21" s="110"/>
      <c r="J21" s="110"/>
      <c r="M21" t="s">
        <v>762</v>
      </c>
      <c r="N21" t="s">
        <v>449</v>
      </c>
      <c r="O21" t="s">
        <v>723</v>
      </c>
      <c r="P21" s="347" t="str">
        <f>"05/12/1962"</f>
        <v>05/12/1962</v>
      </c>
      <c r="Q21">
        <v>55</v>
      </c>
      <c r="R21">
        <v>1144</v>
      </c>
    </row>
    <row r="22" spans="1:18" x14ac:dyDescent="0.2">
      <c r="B22" s="184"/>
      <c r="C22" s="110"/>
      <c r="D22" s="160" t="s">
        <v>964</v>
      </c>
      <c r="E22" s="163"/>
      <c r="F22" s="110"/>
      <c r="I22" s="110"/>
      <c r="J22" s="110"/>
      <c r="M22" t="s">
        <v>442</v>
      </c>
      <c r="N22" t="s">
        <v>767</v>
      </c>
      <c r="O22" t="s">
        <v>723</v>
      </c>
      <c r="P22" s="346">
        <v>33445</v>
      </c>
      <c r="Q22">
        <v>26</v>
      </c>
      <c r="R22">
        <v>2037</v>
      </c>
    </row>
    <row r="23" spans="1:18" x14ac:dyDescent="0.2">
      <c r="A23" s="125"/>
      <c r="B23" s="125"/>
      <c r="C23" s="110"/>
      <c r="D23" s="191" t="s">
        <v>569</v>
      </c>
      <c r="E23" s="125">
        <v>33.04</v>
      </c>
      <c r="F23" s="110"/>
      <c r="G23" s="110"/>
      <c r="H23" s="125"/>
      <c r="I23" s="110"/>
      <c r="J23" s="110"/>
      <c r="M23" t="s">
        <v>442</v>
      </c>
      <c r="N23" t="s">
        <v>443</v>
      </c>
      <c r="O23" t="s">
        <v>717</v>
      </c>
      <c r="P23" s="347" t="str">
        <f>"08/07/1989"</f>
        <v>08/07/1989</v>
      </c>
      <c r="Q23">
        <v>28</v>
      </c>
      <c r="R23">
        <v>1727</v>
      </c>
    </row>
    <row r="24" spans="1:18" x14ac:dyDescent="0.2">
      <c r="M24" t="s">
        <v>446</v>
      </c>
      <c r="N24" t="s">
        <v>447</v>
      </c>
      <c r="O24" t="s">
        <v>723</v>
      </c>
      <c r="P24" s="346">
        <v>22057</v>
      </c>
      <c r="Q24">
        <v>57</v>
      </c>
      <c r="R24">
        <v>2161</v>
      </c>
    </row>
    <row r="25" spans="1:18" x14ac:dyDescent="0.2">
      <c r="H25" s="184" t="s">
        <v>580</v>
      </c>
      <c r="M25" t="s">
        <v>916</v>
      </c>
      <c r="N25" t="s">
        <v>917</v>
      </c>
      <c r="O25" t="s">
        <v>717</v>
      </c>
      <c r="P25" s="346">
        <v>25523</v>
      </c>
      <c r="Q25">
        <v>48</v>
      </c>
      <c r="R25">
        <v>2340</v>
      </c>
    </row>
    <row r="26" spans="1:18" x14ac:dyDescent="0.2">
      <c r="A26" t="s">
        <v>380</v>
      </c>
      <c r="B26" s="186" t="s">
        <v>174</v>
      </c>
      <c r="D26" s="189" t="s">
        <v>261</v>
      </c>
      <c r="E26" t="s">
        <v>689</v>
      </c>
      <c r="H26" s="184" t="s">
        <v>581</v>
      </c>
      <c r="M26" t="s">
        <v>448</v>
      </c>
      <c r="N26" t="s">
        <v>450</v>
      </c>
      <c r="O26" t="s">
        <v>723</v>
      </c>
      <c r="P26" s="346">
        <v>35904</v>
      </c>
      <c r="Q26">
        <v>19</v>
      </c>
      <c r="R26">
        <v>1926</v>
      </c>
    </row>
    <row r="27" spans="1:18" x14ac:dyDescent="0.2">
      <c r="B27" s="247" t="s">
        <v>26</v>
      </c>
      <c r="D27" s="189" t="s">
        <v>295</v>
      </c>
      <c r="E27" s="184" t="s">
        <v>290</v>
      </c>
      <c r="H27" s="184" t="s">
        <v>965</v>
      </c>
      <c r="M27" t="s">
        <v>448</v>
      </c>
      <c r="N27" t="s">
        <v>449</v>
      </c>
      <c r="O27" t="s">
        <v>723</v>
      </c>
      <c r="P27" s="346">
        <v>23517</v>
      </c>
      <c r="Q27">
        <v>53</v>
      </c>
      <c r="R27">
        <v>1925</v>
      </c>
    </row>
    <row r="28" spans="1:18" x14ac:dyDescent="0.2">
      <c r="B28" s="189" t="s">
        <v>91</v>
      </c>
      <c r="D28" t="s">
        <v>957</v>
      </c>
      <c r="E28" s="189" t="s">
        <v>289</v>
      </c>
      <c r="H28" s="184" t="s">
        <v>73</v>
      </c>
      <c r="M28" t="s">
        <v>451</v>
      </c>
      <c r="N28" t="s">
        <v>452</v>
      </c>
      <c r="O28" t="s">
        <v>723</v>
      </c>
      <c r="P28" s="346">
        <v>37609</v>
      </c>
      <c r="Q28">
        <v>15</v>
      </c>
      <c r="R28">
        <v>2145</v>
      </c>
    </row>
    <row r="29" spans="1:18" x14ac:dyDescent="0.2">
      <c r="B29" s="189" t="s">
        <v>66</v>
      </c>
      <c r="D29" s="191" t="s">
        <v>119</v>
      </c>
      <c r="E29" s="184" t="s">
        <v>187</v>
      </c>
      <c r="M29" t="s">
        <v>429</v>
      </c>
      <c r="N29" t="s">
        <v>430</v>
      </c>
      <c r="O29" t="s">
        <v>723</v>
      </c>
      <c r="P29" s="346">
        <v>23645</v>
      </c>
      <c r="Q29">
        <v>53</v>
      </c>
      <c r="R29">
        <v>1567</v>
      </c>
    </row>
    <row r="30" spans="1:18" x14ac:dyDescent="0.2">
      <c r="B30" s="189" t="s">
        <v>342</v>
      </c>
      <c r="C30" s="184"/>
      <c r="D30" s="189" t="s">
        <v>962</v>
      </c>
      <c r="E30" s="184" t="s">
        <v>371</v>
      </c>
      <c r="G30" s="184" t="s">
        <v>23</v>
      </c>
      <c r="M30" t="s">
        <v>677</v>
      </c>
      <c r="N30" t="s">
        <v>678</v>
      </c>
      <c r="O30" t="s">
        <v>717</v>
      </c>
      <c r="P30" s="346">
        <v>26900</v>
      </c>
      <c r="Q30">
        <v>44</v>
      </c>
      <c r="R30">
        <v>1964</v>
      </c>
    </row>
    <row r="31" spans="1:18" x14ac:dyDescent="0.2">
      <c r="B31" s="189" t="s">
        <v>961</v>
      </c>
      <c r="D31" s="189" t="s">
        <v>668</v>
      </c>
      <c r="E31" s="186" t="s">
        <v>73</v>
      </c>
      <c r="G31" s="184" t="s">
        <v>125</v>
      </c>
      <c r="M31" t="s">
        <v>669</v>
      </c>
      <c r="N31" t="s">
        <v>966</v>
      </c>
      <c r="O31" t="s">
        <v>723</v>
      </c>
      <c r="P31" s="347" t="str">
        <f>"07/10/1974"</f>
        <v>07/10/1974</v>
      </c>
      <c r="Q31">
        <v>43</v>
      </c>
      <c r="R31">
        <v>2684</v>
      </c>
    </row>
    <row r="32" spans="1:18" x14ac:dyDescent="0.2">
      <c r="B32" s="189"/>
      <c r="E32" s="186"/>
      <c r="G32" s="184" t="s">
        <v>963</v>
      </c>
      <c r="M32" t="s">
        <v>669</v>
      </c>
      <c r="N32" t="s">
        <v>793</v>
      </c>
      <c r="O32" t="s">
        <v>717</v>
      </c>
      <c r="P32" s="346">
        <v>24797</v>
      </c>
      <c r="Q32">
        <v>50</v>
      </c>
      <c r="R32">
        <v>2041</v>
      </c>
    </row>
    <row r="33" spans="1:18" ht="23.25" x14ac:dyDescent="0.35">
      <c r="A33" s="111" t="s">
        <v>304</v>
      </c>
      <c r="M33" t="s">
        <v>435</v>
      </c>
      <c r="N33" t="s">
        <v>436</v>
      </c>
      <c r="O33" t="s">
        <v>717</v>
      </c>
      <c r="P33" s="346">
        <v>24064</v>
      </c>
      <c r="Q33">
        <v>52</v>
      </c>
      <c r="R33">
        <v>1508</v>
      </c>
    </row>
    <row r="34" spans="1:18" x14ac:dyDescent="0.2">
      <c r="A34" s="184" t="s">
        <v>958</v>
      </c>
      <c r="M34" t="s">
        <v>535</v>
      </c>
      <c r="N34" t="s">
        <v>424</v>
      </c>
      <c r="O34" t="s">
        <v>723</v>
      </c>
      <c r="P34" s="346">
        <v>25797</v>
      </c>
      <c r="Q34">
        <v>47</v>
      </c>
      <c r="R34">
        <v>1500</v>
      </c>
    </row>
    <row r="35" spans="1:18" x14ac:dyDescent="0.2">
      <c r="M35" t="s">
        <v>453</v>
      </c>
      <c r="N35" t="s">
        <v>685</v>
      </c>
      <c r="O35" t="s">
        <v>717</v>
      </c>
      <c r="P35" s="346">
        <v>36818</v>
      </c>
      <c r="Q35">
        <v>17</v>
      </c>
      <c r="R35">
        <v>2070</v>
      </c>
    </row>
    <row r="36" spans="1:18" x14ac:dyDescent="0.2">
      <c r="A36" s="160" t="s">
        <v>567</v>
      </c>
      <c r="B36" s="163" t="s">
        <v>582</v>
      </c>
      <c r="D36" s="160" t="s">
        <v>568</v>
      </c>
      <c r="E36" s="163" t="s">
        <v>584</v>
      </c>
      <c r="G36" s="160" t="s">
        <v>579</v>
      </c>
      <c r="H36" s="163" t="s">
        <v>583</v>
      </c>
      <c r="M36" t="s">
        <v>453</v>
      </c>
      <c r="N36" t="s">
        <v>454</v>
      </c>
      <c r="O36" t="s">
        <v>717</v>
      </c>
      <c r="P36" s="346">
        <v>23425</v>
      </c>
      <c r="Q36">
        <v>53</v>
      </c>
      <c r="R36">
        <v>2415</v>
      </c>
    </row>
    <row r="37" spans="1:18" s="110" customFormat="1" x14ac:dyDescent="0.2">
      <c r="A37" s="189" t="s">
        <v>66</v>
      </c>
      <c r="B37" s="247">
        <v>21.36</v>
      </c>
      <c r="C37" s="189"/>
      <c r="D37" s="189" t="s">
        <v>125</v>
      </c>
      <c r="E37" s="247">
        <v>29.16</v>
      </c>
      <c r="G37" s="184" t="s">
        <v>290</v>
      </c>
      <c r="H37" s="299">
        <v>27.08</v>
      </c>
      <c r="I37" s="189" t="s">
        <v>367</v>
      </c>
      <c r="M37" t="s">
        <v>547</v>
      </c>
      <c r="N37" t="s">
        <v>475</v>
      </c>
      <c r="O37" t="s">
        <v>723</v>
      </c>
      <c r="P37" s="346">
        <v>25611</v>
      </c>
      <c r="Q37">
        <v>47</v>
      </c>
      <c r="R37">
        <v>2157</v>
      </c>
    </row>
    <row r="38" spans="1:18" s="110" customFormat="1" x14ac:dyDescent="0.2">
      <c r="A38" s="189" t="s">
        <v>78</v>
      </c>
      <c r="B38" s="247">
        <v>24.57</v>
      </c>
      <c r="C38" s="189"/>
      <c r="D38" s="189" t="s">
        <v>286</v>
      </c>
      <c r="E38" s="189">
        <v>26.47</v>
      </c>
      <c r="G38" s="189" t="s">
        <v>289</v>
      </c>
      <c r="H38" s="247">
        <v>31.13</v>
      </c>
      <c r="I38" s="189" t="s">
        <v>367</v>
      </c>
      <c r="M38" t="s">
        <v>458</v>
      </c>
      <c r="N38" t="s">
        <v>459</v>
      </c>
      <c r="O38" t="s">
        <v>717</v>
      </c>
      <c r="P38" s="346">
        <v>26171</v>
      </c>
      <c r="Q38">
        <v>46</v>
      </c>
      <c r="R38">
        <v>481</v>
      </c>
    </row>
    <row r="39" spans="1:18" s="110" customFormat="1" x14ac:dyDescent="0.2">
      <c r="A39" s="189" t="s">
        <v>91</v>
      </c>
      <c r="B39" s="247">
        <v>23.12</v>
      </c>
      <c r="C39" s="189"/>
      <c r="D39" s="189" t="s">
        <v>563</v>
      </c>
      <c r="E39" s="247">
        <v>25.56</v>
      </c>
      <c r="G39" s="189" t="s">
        <v>23</v>
      </c>
      <c r="H39" s="247">
        <v>31.12</v>
      </c>
      <c r="I39" s="189"/>
      <c r="L39" s="231"/>
      <c r="M39" t="s">
        <v>460</v>
      </c>
      <c r="N39" t="s">
        <v>476</v>
      </c>
      <c r="O39" t="s">
        <v>723</v>
      </c>
      <c r="P39" s="346">
        <v>27080</v>
      </c>
      <c r="Q39">
        <v>43</v>
      </c>
      <c r="R39">
        <v>1668</v>
      </c>
    </row>
    <row r="40" spans="1:18" s="110" customFormat="1" x14ac:dyDescent="0.2">
      <c r="A40" s="189" t="s">
        <v>26</v>
      </c>
      <c r="B40" s="299">
        <v>22.56</v>
      </c>
      <c r="C40" s="189"/>
      <c r="D40" s="189" t="s">
        <v>379</v>
      </c>
      <c r="E40" s="247">
        <v>25.02</v>
      </c>
      <c r="F40" s="184" t="s">
        <v>367</v>
      </c>
      <c r="G40" s="191" t="s">
        <v>53</v>
      </c>
      <c r="H40" s="247">
        <v>39.51</v>
      </c>
      <c r="I40" s="189"/>
      <c r="M40" t="s">
        <v>427</v>
      </c>
      <c r="N40" t="s">
        <v>428</v>
      </c>
      <c r="O40" t="s">
        <v>723</v>
      </c>
      <c r="P40" s="346">
        <v>19565</v>
      </c>
      <c r="Q40">
        <v>64</v>
      </c>
      <c r="R40">
        <v>1342</v>
      </c>
    </row>
    <row r="41" spans="1:18" s="110" customFormat="1" x14ac:dyDescent="0.2">
      <c r="A41" s="189" t="s">
        <v>274</v>
      </c>
      <c r="B41" s="247">
        <v>25.41</v>
      </c>
      <c r="C41" s="170"/>
      <c r="E41" s="296"/>
      <c r="F41" s="172"/>
      <c r="I41" s="184"/>
      <c r="M41" t="s">
        <v>822</v>
      </c>
      <c r="N41" t="s">
        <v>753</v>
      </c>
      <c r="O41" t="s">
        <v>723</v>
      </c>
      <c r="P41" s="346">
        <v>25081</v>
      </c>
      <c r="Q41">
        <v>49</v>
      </c>
      <c r="R41">
        <v>1568</v>
      </c>
    </row>
    <row r="42" spans="1:18" s="110" customFormat="1" x14ac:dyDescent="0.2">
      <c r="A42" s="170"/>
      <c r="B42" s="170"/>
      <c r="C42" s="170"/>
      <c r="D42" s="189"/>
      <c r="E42" s="247"/>
      <c r="F42" s="172"/>
      <c r="H42" s="235"/>
      <c r="M42" t="s">
        <v>465</v>
      </c>
      <c r="N42" t="s">
        <v>828</v>
      </c>
      <c r="O42" t="s">
        <v>723</v>
      </c>
      <c r="P42" s="346">
        <v>38179</v>
      </c>
      <c r="Q42">
        <v>13</v>
      </c>
      <c r="R42">
        <v>2083</v>
      </c>
    </row>
    <row r="43" spans="1:18" x14ac:dyDescent="0.2">
      <c r="A43" s="160" t="s">
        <v>307</v>
      </c>
      <c r="B43" s="237" t="s">
        <v>585</v>
      </c>
      <c r="D43" s="160" t="s">
        <v>308</v>
      </c>
      <c r="E43" s="163" t="s">
        <v>586</v>
      </c>
      <c r="M43" t="s">
        <v>465</v>
      </c>
      <c r="N43" t="s">
        <v>466</v>
      </c>
      <c r="O43" t="s">
        <v>717</v>
      </c>
      <c r="P43" s="347" t="str">
        <f>"08/11/1972"</f>
        <v>08/11/1972</v>
      </c>
      <c r="Q43">
        <v>45</v>
      </c>
      <c r="R43">
        <v>2080</v>
      </c>
    </row>
    <row r="44" spans="1:18" s="110" customFormat="1" x14ac:dyDescent="0.2">
      <c r="A44" s="189" t="s">
        <v>25</v>
      </c>
      <c r="B44" s="186">
        <v>27.53</v>
      </c>
      <c r="D44" s="184" t="s">
        <v>7</v>
      </c>
      <c r="E44" s="184">
        <v>24.22</v>
      </c>
      <c r="F44" s="170"/>
      <c r="M44" t="s">
        <v>431</v>
      </c>
      <c r="N44" t="s">
        <v>432</v>
      </c>
      <c r="O44" t="s">
        <v>723</v>
      </c>
      <c r="P44" s="346">
        <v>26048</v>
      </c>
      <c r="Q44">
        <v>46</v>
      </c>
      <c r="R44">
        <v>2035</v>
      </c>
    </row>
    <row r="45" spans="1:18" s="110" customFormat="1" x14ac:dyDescent="0.2">
      <c r="A45" s="189" t="s">
        <v>119</v>
      </c>
      <c r="B45" s="186">
        <v>29.17</v>
      </c>
      <c r="D45" s="189" t="s">
        <v>28</v>
      </c>
      <c r="E45" s="189">
        <v>22.11</v>
      </c>
      <c r="F45" s="170"/>
      <c r="I45" s="184"/>
      <c r="M45" t="s">
        <v>431</v>
      </c>
      <c r="N45" t="s">
        <v>433</v>
      </c>
      <c r="O45" t="s">
        <v>723</v>
      </c>
      <c r="P45" s="346">
        <v>36353</v>
      </c>
      <c r="Q45">
        <v>18</v>
      </c>
      <c r="R45">
        <v>2205</v>
      </c>
    </row>
    <row r="46" spans="1:18" s="110" customFormat="1" x14ac:dyDescent="0.2">
      <c r="A46" s="189" t="s">
        <v>6</v>
      </c>
      <c r="B46" s="110">
        <v>29.26</v>
      </c>
      <c r="D46" s="189" t="s">
        <v>4</v>
      </c>
      <c r="E46" s="247">
        <v>21.3</v>
      </c>
      <c r="F46" s="189"/>
      <c r="M46" t="s">
        <v>431</v>
      </c>
      <c r="N46" t="s">
        <v>434</v>
      </c>
      <c r="O46" t="s">
        <v>723</v>
      </c>
      <c r="P46" s="346">
        <v>37117</v>
      </c>
      <c r="Q46">
        <v>16</v>
      </c>
      <c r="R46">
        <v>2033</v>
      </c>
    </row>
    <row r="47" spans="1:18" x14ac:dyDescent="0.2">
      <c r="B47" s="247"/>
      <c r="C47" s="170"/>
      <c r="M47" t="s">
        <v>468</v>
      </c>
      <c r="N47" t="s">
        <v>469</v>
      </c>
      <c r="O47" t="s">
        <v>717</v>
      </c>
      <c r="P47" s="346">
        <v>32106</v>
      </c>
      <c r="Q47">
        <v>30</v>
      </c>
      <c r="R47">
        <v>2084</v>
      </c>
    </row>
    <row r="48" spans="1:18" x14ac:dyDescent="0.2">
      <c r="K48" s="110"/>
      <c r="M48" t="s">
        <v>671</v>
      </c>
      <c r="N48" t="s">
        <v>293</v>
      </c>
      <c r="O48" t="s">
        <v>717</v>
      </c>
      <c r="P48" s="346">
        <v>36937</v>
      </c>
      <c r="Q48">
        <v>16</v>
      </c>
      <c r="R48">
        <v>2155</v>
      </c>
    </row>
    <row r="49" spans="1:18" s="110" customFormat="1" x14ac:dyDescent="0.2">
      <c r="A49" s="160" t="s">
        <v>309</v>
      </c>
      <c r="B49" s="163" t="s">
        <v>481</v>
      </c>
      <c r="C49"/>
      <c r="D49" s="160" t="s">
        <v>362</v>
      </c>
      <c r="E49" s="163" t="s">
        <v>587</v>
      </c>
      <c r="F49"/>
      <c r="M49" t="s">
        <v>470</v>
      </c>
      <c r="N49" t="s">
        <v>477</v>
      </c>
      <c r="O49" t="s">
        <v>723</v>
      </c>
      <c r="P49" s="346">
        <v>27344</v>
      </c>
      <c r="Q49">
        <v>43</v>
      </c>
      <c r="R49">
        <v>1238</v>
      </c>
    </row>
    <row r="50" spans="1:18" s="110" customFormat="1" x14ac:dyDescent="0.2">
      <c r="A50" s="184" t="s">
        <v>195</v>
      </c>
      <c r="B50" s="186">
        <v>27.38</v>
      </c>
      <c r="C50" s="184"/>
      <c r="D50" s="184" t="s">
        <v>356</v>
      </c>
      <c r="E50" s="186">
        <v>24.16</v>
      </c>
      <c r="F50" s="184" t="s">
        <v>367</v>
      </c>
      <c r="M50" t="s">
        <v>845</v>
      </c>
      <c r="N50" t="s">
        <v>846</v>
      </c>
      <c r="O50" t="s">
        <v>717</v>
      </c>
      <c r="P50" s="346">
        <v>32262</v>
      </c>
      <c r="Q50">
        <v>29</v>
      </c>
      <c r="R50">
        <v>2103</v>
      </c>
    </row>
    <row r="51" spans="1:18" s="110" customFormat="1" x14ac:dyDescent="0.2">
      <c r="A51" s="184" t="s">
        <v>343</v>
      </c>
      <c r="B51" s="186">
        <v>31.47</v>
      </c>
      <c r="C51" s="184" t="s">
        <v>367</v>
      </c>
      <c r="D51" s="184" t="s">
        <v>261</v>
      </c>
      <c r="E51" s="186">
        <v>26.59</v>
      </c>
      <c r="I51" s="123"/>
      <c r="M51" t="s">
        <v>471</v>
      </c>
      <c r="N51" t="s">
        <v>472</v>
      </c>
      <c r="O51" t="s">
        <v>723</v>
      </c>
      <c r="P51" s="346">
        <v>34088</v>
      </c>
      <c r="Q51">
        <v>24</v>
      </c>
      <c r="R51">
        <v>1962</v>
      </c>
    </row>
    <row r="52" spans="1:18" s="110" customFormat="1" x14ac:dyDescent="0.2">
      <c r="A52" s="184" t="s">
        <v>386</v>
      </c>
      <c r="B52" s="184">
        <v>33.14</v>
      </c>
      <c r="C52" s="184" t="s">
        <v>367</v>
      </c>
      <c r="D52" s="184" t="s">
        <v>118</v>
      </c>
      <c r="E52" s="186">
        <v>27.56</v>
      </c>
      <c r="F52" s="184"/>
      <c r="I52" s="123"/>
      <c r="M52" t="s">
        <v>935</v>
      </c>
      <c r="N52" t="s">
        <v>936</v>
      </c>
      <c r="O52" t="s">
        <v>723</v>
      </c>
      <c r="P52" s="347" t="str">
        <f>"09/08/1971"</f>
        <v>09/08/1971</v>
      </c>
      <c r="Q52">
        <v>46</v>
      </c>
      <c r="R52">
        <v>2576</v>
      </c>
    </row>
    <row r="53" spans="1:18" x14ac:dyDescent="0.2">
      <c r="A53" s="191" t="s">
        <v>569</v>
      </c>
      <c r="B53" s="186">
        <v>33.51</v>
      </c>
      <c r="C53" s="184" t="s">
        <v>367</v>
      </c>
      <c r="E53" s="186"/>
      <c r="F53" s="110"/>
      <c r="G53" s="110"/>
      <c r="H53" s="125"/>
      <c r="I53" s="110"/>
      <c r="J53" s="110"/>
      <c r="M53" s="110"/>
      <c r="N53" s="110"/>
    </row>
    <row r="54" spans="1:18" x14ac:dyDescent="0.2">
      <c r="B54" s="184"/>
      <c r="C54" s="110"/>
      <c r="E54" s="186"/>
      <c r="F54" s="110"/>
      <c r="G54" s="110"/>
      <c r="H54" s="125"/>
      <c r="I54" s="110"/>
      <c r="J54" s="110"/>
      <c r="M54" s="110"/>
      <c r="N54" s="110"/>
    </row>
    <row r="55" spans="1:18" x14ac:dyDescent="0.2">
      <c r="A55" s="125"/>
      <c r="B55" s="125"/>
      <c r="C55" s="110"/>
      <c r="E55" s="186"/>
      <c r="F55" s="110"/>
      <c r="G55" s="110"/>
      <c r="H55" s="125"/>
      <c r="I55" s="110"/>
      <c r="J55" s="110"/>
      <c r="M55" s="110"/>
      <c r="N55" s="110"/>
    </row>
    <row r="56" spans="1:18" x14ac:dyDescent="0.2">
      <c r="A56" t="s">
        <v>380</v>
      </c>
      <c r="B56" s="186" t="s">
        <v>174</v>
      </c>
      <c r="D56" s="184" t="s">
        <v>55</v>
      </c>
      <c r="F56" s="184" t="s">
        <v>580</v>
      </c>
      <c r="G56" s="189" t="s">
        <v>98</v>
      </c>
      <c r="H56" s="247"/>
      <c r="M56" s="110"/>
      <c r="N56" s="110"/>
      <c r="O56" s="110"/>
    </row>
    <row r="57" spans="1:18" x14ac:dyDescent="0.2">
      <c r="B57" s="189" t="s">
        <v>77</v>
      </c>
      <c r="D57" s="189" t="s">
        <v>342</v>
      </c>
      <c r="G57" s="184" t="s">
        <v>90</v>
      </c>
      <c r="M57" s="110"/>
      <c r="N57" s="110"/>
      <c r="O57" s="110"/>
    </row>
    <row r="58" spans="1:18" x14ac:dyDescent="0.2">
      <c r="B58" s="189" t="s">
        <v>394</v>
      </c>
      <c r="D58" s="189" t="s">
        <v>371</v>
      </c>
      <c r="G58" s="184" t="s">
        <v>581</v>
      </c>
      <c r="M58" s="110"/>
      <c r="N58" s="110"/>
      <c r="O58" s="110"/>
    </row>
    <row r="59" spans="1:18" x14ac:dyDescent="0.2">
      <c r="B59" s="189" t="s">
        <v>74</v>
      </c>
      <c r="D59" s="189" t="s">
        <v>266</v>
      </c>
      <c r="E59" s="247"/>
      <c r="M59" s="110"/>
      <c r="N59" s="110"/>
      <c r="O59" s="110"/>
    </row>
    <row r="60" spans="1:18" x14ac:dyDescent="0.2">
      <c r="B60" s="189" t="s">
        <v>296</v>
      </c>
      <c r="C60" s="184"/>
      <c r="D60" s="189" t="s">
        <v>295</v>
      </c>
      <c r="E60" s="186"/>
      <c r="M60" s="110"/>
      <c r="N60" s="110"/>
      <c r="O60" s="110"/>
    </row>
    <row r="61" spans="1:18" x14ac:dyDescent="0.2">
      <c r="B61" s="189" t="s">
        <v>73</v>
      </c>
      <c r="M61" s="110"/>
      <c r="N61" s="110"/>
      <c r="O61" s="110"/>
    </row>
    <row r="62" spans="1:18" x14ac:dyDescent="0.2">
      <c r="E62" s="186"/>
      <c r="M62" s="110"/>
      <c r="N62" s="110"/>
      <c r="O62" s="110"/>
    </row>
    <row r="63" spans="1:18" x14ac:dyDescent="0.2">
      <c r="E63" s="186"/>
      <c r="M63" s="110"/>
      <c r="N63" s="110"/>
      <c r="O63" s="110"/>
    </row>
    <row r="64" spans="1:18" x14ac:dyDescent="0.2">
      <c r="B64" s="189"/>
      <c r="E64" s="186"/>
      <c r="M64" s="110"/>
      <c r="N64" s="110"/>
      <c r="O64" s="110"/>
    </row>
    <row r="65" spans="1:15" ht="23.25" x14ac:dyDescent="0.35">
      <c r="A65" s="111" t="s">
        <v>304</v>
      </c>
    </row>
    <row r="66" spans="1:15" x14ac:dyDescent="0.2">
      <c r="A66" s="184" t="s">
        <v>578</v>
      </c>
    </row>
    <row r="68" spans="1:15" x14ac:dyDescent="0.2">
      <c r="A68" s="160" t="s">
        <v>306</v>
      </c>
      <c r="B68" s="163"/>
      <c r="D68" s="160" t="s">
        <v>570</v>
      </c>
      <c r="E68" s="163"/>
    </row>
    <row r="69" spans="1:15" s="184" customFormat="1" x14ac:dyDescent="0.2">
      <c r="A69" s="191" t="s">
        <v>94</v>
      </c>
      <c r="B69" s="297">
        <v>20.48</v>
      </c>
      <c r="C69" s="191"/>
      <c r="D69" s="191" t="s">
        <v>571</v>
      </c>
      <c r="E69" s="247">
        <v>27.57</v>
      </c>
      <c r="H69" s="186"/>
      <c r="J69"/>
    </row>
    <row r="70" spans="1:15" s="184" customFormat="1" x14ac:dyDescent="0.2">
      <c r="A70" s="191" t="s">
        <v>154</v>
      </c>
      <c r="B70" s="297">
        <v>22</v>
      </c>
      <c r="C70" s="191"/>
      <c r="D70" s="191" t="s">
        <v>6</v>
      </c>
      <c r="E70" s="247">
        <v>33.270000000000003</v>
      </c>
      <c r="H70" s="186"/>
      <c r="J70"/>
      <c r="L70" s="274"/>
      <c r="O70" s="122"/>
    </row>
    <row r="71" spans="1:15" s="184" customFormat="1" x14ac:dyDescent="0.2">
      <c r="A71" s="191" t="s">
        <v>342</v>
      </c>
      <c r="B71" s="298">
        <v>23.14</v>
      </c>
      <c r="C71" s="191"/>
      <c r="D71" s="191" t="s">
        <v>379</v>
      </c>
      <c r="E71" s="299">
        <v>26.09</v>
      </c>
      <c r="H71" s="186"/>
      <c r="J71"/>
      <c r="O71" s="122"/>
    </row>
    <row r="72" spans="1:15" s="184" customFormat="1" x14ac:dyDescent="0.2">
      <c r="A72" s="191" t="s">
        <v>274</v>
      </c>
      <c r="B72" s="297">
        <v>22.23</v>
      </c>
      <c r="C72" s="191"/>
      <c r="D72" s="191"/>
      <c r="E72" s="247"/>
      <c r="H72" s="247"/>
      <c r="J72"/>
      <c r="O72" s="122"/>
    </row>
    <row r="73" spans="1:15" s="184" customFormat="1" x14ac:dyDescent="0.2">
      <c r="A73" s="191" t="s">
        <v>572</v>
      </c>
      <c r="B73" s="297">
        <v>26.25</v>
      </c>
      <c r="C73" s="191"/>
      <c r="D73" s="191"/>
      <c r="E73" s="247"/>
      <c r="F73" s="175"/>
      <c r="H73" s="247"/>
      <c r="J73"/>
    </row>
    <row r="74" spans="1:15" s="184" customFormat="1" x14ac:dyDescent="0.2">
      <c r="A74" s="191" t="s">
        <v>5</v>
      </c>
      <c r="B74" s="297">
        <v>29.58</v>
      </c>
      <c r="C74" s="191"/>
      <c r="D74" s="191"/>
      <c r="E74" s="247"/>
      <c r="F74" s="189"/>
      <c r="H74" s="247"/>
      <c r="J74"/>
    </row>
    <row r="75" spans="1:15" s="184" customFormat="1" x14ac:dyDescent="0.2">
      <c r="B75" s="247"/>
      <c r="C75" s="189"/>
      <c r="E75" s="247"/>
      <c r="F75" s="189"/>
      <c r="H75" s="247"/>
      <c r="J75"/>
    </row>
    <row r="76" spans="1:15" x14ac:dyDescent="0.2">
      <c r="A76" s="160" t="s">
        <v>307</v>
      </c>
      <c r="B76" s="163" t="s">
        <v>349</v>
      </c>
      <c r="D76" s="300" t="s">
        <v>308</v>
      </c>
      <c r="E76" s="300"/>
      <c r="G76" s="160" t="s">
        <v>361</v>
      </c>
      <c r="H76" s="192"/>
    </row>
    <row r="77" spans="1:15" s="184" customFormat="1" x14ac:dyDescent="0.2">
      <c r="A77" s="191" t="s">
        <v>66</v>
      </c>
      <c r="B77" s="297">
        <v>22.42</v>
      </c>
      <c r="C77" s="191"/>
      <c r="D77" s="191" t="s">
        <v>7</v>
      </c>
      <c r="E77" s="297">
        <v>24.29</v>
      </c>
      <c r="F77" s="191"/>
      <c r="G77" s="191" t="s">
        <v>290</v>
      </c>
      <c r="H77" s="184">
        <v>13.16</v>
      </c>
      <c r="J77"/>
    </row>
    <row r="78" spans="1:15" s="184" customFormat="1" x14ac:dyDescent="0.2">
      <c r="A78" s="191" t="s">
        <v>26</v>
      </c>
      <c r="B78" s="297">
        <v>22.44</v>
      </c>
      <c r="C78" s="191"/>
      <c r="D78" s="191" t="s">
        <v>286</v>
      </c>
      <c r="E78" s="297">
        <v>25.5</v>
      </c>
      <c r="F78" s="191"/>
      <c r="G78" s="191" t="s">
        <v>573</v>
      </c>
      <c r="H78" s="184">
        <v>14.04</v>
      </c>
      <c r="J78"/>
    </row>
    <row r="79" spans="1:15" s="184" customFormat="1" x14ac:dyDescent="0.2">
      <c r="A79" s="191" t="s">
        <v>574</v>
      </c>
      <c r="B79" s="297">
        <v>21.22</v>
      </c>
      <c r="C79" s="191"/>
      <c r="D79" s="301" t="s">
        <v>575</v>
      </c>
      <c r="E79" s="297">
        <v>26.09</v>
      </c>
      <c r="F79" s="191"/>
      <c r="G79" s="191"/>
      <c r="J79"/>
    </row>
    <row r="80" spans="1:15" x14ac:dyDescent="0.2">
      <c r="B80" s="186"/>
      <c r="E80" s="247"/>
      <c r="F80" s="189"/>
    </row>
    <row r="81" spans="1:15" x14ac:dyDescent="0.2">
      <c r="K81" s="184"/>
    </row>
    <row r="82" spans="1:15" s="184" customFormat="1" x14ac:dyDescent="0.2">
      <c r="A82" s="160" t="s">
        <v>309</v>
      </c>
      <c r="B82" s="163"/>
      <c r="C82"/>
      <c r="D82" s="160" t="s">
        <v>362</v>
      </c>
      <c r="E82" s="163" t="s">
        <v>350</v>
      </c>
      <c r="F82"/>
      <c r="H82" s="234"/>
      <c r="J82"/>
    </row>
    <row r="83" spans="1:15" s="184" customFormat="1" x14ac:dyDescent="0.2">
      <c r="A83" s="191" t="s">
        <v>576</v>
      </c>
      <c r="B83" s="297">
        <v>29.18</v>
      </c>
      <c r="C83" s="191"/>
      <c r="D83" s="191" t="s">
        <v>101</v>
      </c>
      <c r="E83" s="186">
        <v>24.08</v>
      </c>
      <c r="H83" s="186"/>
      <c r="J83"/>
    </row>
    <row r="84" spans="1:15" s="184" customFormat="1" x14ac:dyDescent="0.2">
      <c r="A84" s="191" t="s">
        <v>295</v>
      </c>
      <c r="B84" s="297">
        <v>32.49</v>
      </c>
      <c r="C84" s="191"/>
      <c r="D84" s="191" t="s">
        <v>378</v>
      </c>
      <c r="E84" s="186">
        <v>24.12</v>
      </c>
      <c r="H84" s="234"/>
      <c r="I84" s="122"/>
      <c r="J84"/>
    </row>
    <row r="85" spans="1:15" s="184" customFormat="1" x14ac:dyDescent="0.2">
      <c r="A85" s="191" t="s">
        <v>343</v>
      </c>
      <c r="B85" s="297">
        <v>32.200000000000003</v>
      </c>
      <c r="C85" s="191"/>
      <c r="D85" s="191" t="s">
        <v>577</v>
      </c>
      <c r="E85" s="186">
        <v>24.29</v>
      </c>
      <c r="H85" s="186"/>
      <c r="I85" s="122"/>
      <c r="J85"/>
    </row>
    <row r="86" spans="1:15" x14ac:dyDescent="0.2">
      <c r="A86" s="191" t="s">
        <v>53</v>
      </c>
      <c r="B86" s="297">
        <v>39.340000000000003</v>
      </c>
      <c r="C86" s="191"/>
      <c r="D86" s="302"/>
      <c r="F86" s="184"/>
      <c r="H86" s="186"/>
      <c r="I86" s="184"/>
      <c r="M86" s="184"/>
      <c r="N86" s="184"/>
    </row>
    <row r="87" spans="1:15" x14ac:dyDescent="0.2">
      <c r="H87" s="186"/>
      <c r="I87" s="184"/>
      <c r="M87" s="184"/>
      <c r="N87" s="184"/>
    </row>
    <row r="88" spans="1:15" x14ac:dyDescent="0.2">
      <c r="B88" s="303"/>
      <c r="M88" s="184"/>
      <c r="N88" s="184"/>
      <c r="O88" s="184"/>
    </row>
    <row r="89" spans="1:15" x14ac:dyDescent="0.2">
      <c r="B89" s="303"/>
      <c r="M89" s="184"/>
      <c r="N89" s="184"/>
      <c r="O89" s="184"/>
    </row>
    <row r="90" spans="1:15" ht="18" x14ac:dyDescent="0.25">
      <c r="A90" s="304">
        <v>2014</v>
      </c>
      <c r="B90" s="303"/>
      <c r="M90" s="184"/>
      <c r="N90" s="184"/>
      <c r="O90" s="184"/>
    </row>
    <row r="91" spans="1:15" x14ac:dyDescent="0.2">
      <c r="B91" s="303"/>
      <c r="M91" s="184"/>
      <c r="N91" s="184"/>
      <c r="O91" s="184"/>
    </row>
    <row r="92" spans="1:15" x14ac:dyDescent="0.2">
      <c r="A92" s="160" t="s">
        <v>306</v>
      </c>
      <c r="B92" s="163"/>
      <c r="D92" s="160" t="s">
        <v>361</v>
      </c>
      <c r="E92" s="237"/>
    </row>
    <row r="93" spans="1:15" s="110" customFormat="1" x14ac:dyDescent="0.2">
      <c r="A93" s="189" t="s">
        <v>91</v>
      </c>
      <c r="B93" s="235">
        <v>21.49</v>
      </c>
      <c r="C93" s="189" t="s">
        <v>367</v>
      </c>
      <c r="D93" s="201" t="s">
        <v>154</v>
      </c>
      <c r="E93" s="125">
        <v>10.1</v>
      </c>
      <c r="F93" s="189" t="s">
        <v>367</v>
      </c>
    </row>
    <row r="94" spans="1:15" s="110" customFormat="1" x14ac:dyDescent="0.2">
      <c r="A94" s="189" t="s">
        <v>26</v>
      </c>
      <c r="B94" s="235">
        <v>22.41</v>
      </c>
      <c r="C94" s="189"/>
      <c r="D94" s="184" t="s">
        <v>280</v>
      </c>
      <c r="E94" s="125">
        <v>10.53</v>
      </c>
      <c r="F94" s="189" t="s">
        <v>367</v>
      </c>
      <c r="L94" s="231"/>
      <c r="O94" s="123"/>
    </row>
    <row r="95" spans="1:15" s="110" customFormat="1" x14ac:dyDescent="0.2">
      <c r="A95" s="189" t="s">
        <v>342</v>
      </c>
      <c r="B95" s="236">
        <v>22.08</v>
      </c>
      <c r="C95" s="189" t="s">
        <v>367</v>
      </c>
      <c r="D95" s="191" t="s">
        <v>363</v>
      </c>
      <c r="E95" s="125">
        <v>11.56</v>
      </c>
      <c r="F95" s="189" t="s">
        <v>367</v>
      </c>
      <c r="O95" s="123"/>
    </row>
    <row r="96" spans="1:15" s="110" customFormat="1" x14ac:dyDescent="0.2">
      <c r="A96" s="201" t="s">
        <v>174</v>
      </c>
      <c r="B96" s="235">
        <v>22.52</v>
      </c>
      <c r="C96" s="170"/>
      <c r="E96" s="235"/>
      <c r="F96" s="172"/>
      <c r="G96" s="184"/>
      <c r="H96" s="184"/>
      <c r="I96" s="184"/>
      <c r="O96" s="123"/>
    </row>
    <row r="97" spans="1:15" s="110" customFormat="1" x14ac:dyDescent="0.2">
      <c r="A97" s="189" t="s">
        <v>274</v>
      </c>
      <c r="B97" s="235">
        <v>21.24</v>
      </c>
      <c r="C97" s="170"/>
      <c r="E97" s="125"/>
      <c r="F97" s="172"/>
      <c r="G97" s="189"/>
      <c r="H97" s="235"/>
    </row>
    <row r="98" spans="1:15" s="110" customFormat="1" x14ac:dyDescent="0.2">
      <c r="A98" s="189" t="s">
        <v>25</v>
      </c>
      <c r="B98" s="247">
        <v>25.24</v>
      </c>
      <c r="C98" s="170"/>
      <c r="D98" s="235"/>
      <c r="E98" s="235"/>
      <c r="F98" s="170"/>
      <c r="H98" s="235"/>
    </row>
    <row r="99" spans="1:15" x14ac:dyDescent="0.2">
      <c r="F99" s="110"/>
      <c r="G99" s="170"/>
    </row>
    <row r="100" spans="1:15" x14ac:dyDescent="0.2">
      <c r="A100" s="160" t="s">
        <v>307</v>
      </c>
      <c r="B100" s="163" t="s">
        <v>350</v>
      </c>
      <c r="D100" s="160" t="s">
        <v>364</v>
      </c>
      <c r="E100" s="238"/>
      <c r="G100" s="160" t="s">
        <v>308</v>
      </c>
      <c r="H100" s="163" t="s">
        <v>349</v>
      </c>
    </row>
    <row r="101" spans="1:15" s="110" customFormat="1" x14ac:dyDescent="0.2">
      <c r="A101" s="201" t="s">
        <v>264</v>
      </c>
      <c r="B101" s="235">
        <v>20.350000000000001</v>
      </c>
      <c r="D101" s="189" t="s">
        <v>27</v>
      </c>
      <c r="E101" s="110">
        <v>29.04</v>
      </c>
      <c r="F101" s="170"/>
      <c r="G101" s="189" t="s">
        <v>28</v>
      </c>
      <c r="H101" s="235">
        <v>22.31</v>
      </c>
    </row>
    <row r="102" spans="1:15" s="110" customFormat="1" x14ac:dyDescent="0.2">
      <c r="A102" s="189" t="s">
        <v>66</v>
      </c>
      <c r="B102" s="235">
        <v>20.420000000000002</v>
      </c>
      <c r="D102" s="189" t="s">
        <v>6</v>
      </c>
      <c r="E102" s="110">
        <v>30.08</v>
      </c>
      <c r="F102" s="170"/>
      <c r="G102" s="201" t="s">
        <v>98</v>
      </c>
      <c r="H102" s="235">
        <v>23.09</v>
      </c>
      <c r="I102" s="184" t="s">
        <v>367</v>
      </c>
    </row>
    <row r="103" spans="1:15" s="110" customFormat="1" x14ac:dyDescent="0.2">
      <c r="A103" s="189" t="s">
        <v>4</v>
      </c>
      <c r="B103" s="235">
        <v>22.02</v>
      </c>
      <c r="D103" s="189" t="s">
        <v>286</v>
      </c>
      <c r="E103" s="110">
        <v>26.42</v>
      </c>
      <c r="F103" s="189" t="s">
        <v>367</v>
      </c>
      <c r="G103" s="189" t="s">
        <v>7</v>
      </c>
      <c r="H103" s="235">
        <v>25.08</v>
      </c>
    </row>
    <row r="104" spans="1:15" x14ac:dyDescent="0.2">
      <c r="B104" s="125"/>
      <c r="D104" s="202" t="s">
        <v>119</v>
      </c>
      <c r="E104" s="247" t="s">
        <v>365</v>
      </c>
      <c r="F104" s="170"/>
      <c r="H104" s="235"/>
    </row>
    <row r="105" spans="1:15" x14ac:dyDescent="0.2">
      <c r="K105" s="110"/>
    </row>
    <row r="106" spans="1:15" s="110" customFormat="1" x14ac:dyDescent="0.2">
      <c r="A106" s="160" t="s">
        <v>309</v>
      </c>
      <c r="B106" s="238"/>
      <c r="C106"/>
      <c r="D106" s="160" t="s">
        <v>362</v>
      </c>
      <c r="E106" s="163" t="s">
        <v>349</v>
      </c>
      <c r="F106"/>
      <c r="G106"/>
      <c r="H106" s="234"/>
    </row>
    <row r="107" spans="1:15" s="110" customFormat="1" x14ac:dyDescent="0.2">
      <c r="A107" s="184" t="s">
        <v>295</v>
      </c>
      <c r="B107" s="125">
        <v>33.159999999999997</v>
      </c>
      <c r="C107" s="184" t="s">
        <v>367</v>
      </c>
      <c r="D107" s="202" t="s">
        <v>356</v>
      </c>
      <c r="E107" s="125">
        <v>24.53</v>
      </c>
      <c r="F107" s="184" t="s">
        <v>367</v>
      </c>
      <c r="H107" s="125"/>
    </row>
    <row r="108" spans="1:15" s="110" customFormat="1" x14ac:dyDescent="0.2">
      <c r="A108" s="189" t="s">
        <v>55</v>
      </c>
      <c r="B108" s="125">
        <v>26.54</v>
      </c>
      <c r="D108" s="184" t="s">
        <v>261</v>
      </c>
      <c r="E108" s="125">
        <v>26.39</v>
      </c>
      <c r="G108"/>
      <c r="H108" s="234"/>
      <c r="I108" s="123"/>
    </row>
    <row r="109" spans="1:15" s="110" customFormat="1" x14ac:dyDescent="0.2">
      <c r="A109" s="184" t="s">
        <v>56</v>
      </c>
      <c r="B109" s="125">
        <v>29.39</v>
      </c>
      <c r="C109" s="184" t="s">
        <v>367</v>
      </c>
      <c r="D109" s="184" t="s">
        <v>118</v>
      </c>
      <c r="E109" s="125">
        <v>27.31</v>
      </c>
      <c r="F109" s="184" t="s">
        <v>367</v>
      </c>
      <c r="G109"/>
      <c r="H109" s="125"/>
      <c r="I109" s="123"/>
    </row>
    <row r="110" spans="1:15" x14ac:dyDescent="0.2">
      <c r="A110" s="200" t="s">
        <v>53</v>
      </c>
      <c r="B110" s="125">
        <v>41.23</v>
      </c>
      <c r="C110" s="110"/>
      <c r="E110" s="186"/>
      <c r="F110" s="110"/>
      <c r="G110" s="110"/>
      <c r="H110" s="125"/>
      <c r="I110" s="110"/>
      <c r="J110" s="110"/>
      <c r="M110" s="110"/>
      <c r="N110" s="110"/>
    </row>
    <row r="111" spans="1:15" x14ac:dyDescent="0.2">
      <c r="G111" s="110"/>
      <c r="H111" s="125"/>
      <c r="I111" s="110"/>
      <c r="M111" s="110"/>
      <c r="N111" s="110"/>
    </row>
    <row r="112" spans="1:15" x14ac:dyDescent="0.2">
      <c r="M112" s="110"/>
      <c r="N112" s="110"/>
      <c r="O112" s="110"/>
    </row>
    <row r="113" spans="2:15" x14ac:dyDescent="0.2">
      <c r="E113" s="186"/>
      <c r="M113" s="110"/>
      <c r="N113" s="110"/>
      <c r="O113" s="110"/>
    </row>
    <row r="114" spans="2:15" x14ac:dyDescent="0.2">
      <c r="M114" s="110"/>
      <c r="N114" s="110"/>
      <c r="O114" s="110"/>
    </row>
    <row r="115" spans="2:15" x14ac:dyDescent="0.2">
      <c r="M115" s="110"/>
      <c r="N115" s="110"/>
      <c r="O115" s="110"/>
    </row>
    <row r="116" spans="2:15" x14ac:dyDescent="0.2">
      <c r="M116" s="110"/>
      <c r="N116" s="110"/>
      <c r="O116" s="110"/>
    </row>
    <row r="117" spans="2:15" x14ac:dyDescent="0.2">
      <c r="B117"/>
      <c r="E117"/>
      <c r="H117"/>
      <c r="M117" s="110"/>
      <c r="N117" s="110"/>
      <c r="O117" s="110"/>
    </row>
    <row r="118" spans="2:15" x14ac:dyDescent="0.2">
      <c r="B118"/>
      <c r="E118"/>
      <c r="H118"/>
      <c r="M118" s="110"/>
      <c r="N118" s="110"/>
      <c r="O118" s="110"/>
    </row>
    <row r="119" spans="2:15" x14ac:dyDescent="0.2">
      <c r="B119"/>
      <c r="E119"/>
      <c r="H119"/>
      <c r="M119" s="110"/>
      <c r="N119" s="110"/>
      <c r="O119" s="110"/>
    </row>
    <row r="120" spans="2:15" x14ac:dyDescent="0.2">
      <c r="B120"/>
      <c r="E120"/>
      <c r="H120"/>
      <c r="M120" s="110"/>
      <c r="N120" s="110"/>
      <c r="O120" s="110"/>
    </row>
    <row r="121" spans="2:15" x14ac:dyDescent="0.2">
      <c r="B121"/>
      <c r="E121"/>
      <c r="H121"/>
      <c r="M121" s="110"/>
      <c r="N121" s="110"/>
      <c r="O121" s="110"/>
    </row>
    <row r="122" spans="2:15" x14ac:dyDescent="0.2">
      <c r="B122"/>
      <c r="E122"/>
      <c r="H122"/>
      <c r="M122" s="110"/>
      <c r="N122" s="110"/>
      <c r="O122" s="110"/>
    </row>
    <row r="123" spans="2:15" x14ac:dyDescent="0.2">
      <c r="B123"/>
      <c r="E123"/>
      <c r="H123"/>
      <c r="M123" s="110"/>
      <c r="N123" s="110"/>
      <c r="O123" s="110"/>
    </row>
    <row r="124" spans="2:15" x14ac:dyDescent="0.2">
      <c r="B124"/>
      <c r="E124"/>
      <c r="H124"/>
      <c r="M124" s="110"/>
      <c r="N124" s="110"/>
      <c r="O124" s="110"/>
    </row>
    <row r="125" spans="2:15" x14ac:dyDescent="0.2">
      <c r="B125"/>
      <c r="E125"/>
      <c r="H125"/>
      <c r="M125" s="110"/>
      <c r="N125" s="110"/>
    </row>
    <row r="126" spans="2:15" x14ac:dyDescent="0.2">
      <c r="M126" s="110"/>
      <c r="N126" s="110"/>
    </row>
    <row r="127" spans="2:15" x14ac:dyDescent="0.2">
      <c r="M127" s="110"/>
      <c r="N127" s="110"/>
    </row>
  </sheetData>
  <pageMargins left="0.74803149606299213" right="0.74803149606299213" top="0.98425196850393704" bottom="0.98425196850393704" header="0.51181102362204722" footer="0.51181102362204722"/>
  <pageSetup paperSize="9" orientation="landscape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S153"/>
  <sheetViews>
    <sheetView showGridLines="0" topLeftCell="B1" workbookViewId="0">
      <selection activeCell="B1" sqref="B1"/>
    </sheetView>
  </sheetViews>
  <sheetFormatPr defaultRowHeight="12.75" x14ac:dyDescent="0.2"/>
  <cols>
    <col min="1" max="1" width="6.5703125" hidden="1" customWidth="1"/>
    <col min="2" max="2" width="17.85546875" customWidth="1"/>
    <col min="4" max="4" width="5.85546875" customWidth="1"/>
    <col min="5" max="5" width="6.85546875" hidden="1" customWidth="1"/>
    <col min="6" max="6" width="19.42578125" customWidth="1"/>
    <col min="8" max="8" width="5.140625" customWidth="1"/>
    <col min="9" max="9" width="17" customWidth="1"/>
    <col min="10" max="10" width="6.42578125" customWidth="1"/>
    <col min="12" max="12" width="16" customWidth="1"/>
    <col min="13" max="13" width="6.28515625" customWidth="1"/>
    <col min="14" max="14" width="17" customWidth="1"/>
    <col min="16" max="16" width="5.42578125" customWidth="1"/>
    <col min="19" max="19" width="5.5703125" customWidth="1"/>
  </cols>
  <sheetData>
    <row r="1" spans="1:19" ht="23.25" x14ac:dyDescent="0.35">
      <c r="B1" s="111" t="s">
        <v>999</v>
      </c>
    </row>
    <row r="2" spans="1:19" x14ac:dyDescent="0.2">
      <c r="B2" t="s">
        <v>1000</v>
      </c>
    </row>
    <row r="4" spans="1:19" x14ac:dyDescent="0.2">
      <c r="A4" s="124"/>
      <c r="B4" s="160" t="s">
        <v>1001</v>
      </c>
      <c r="C4" s="161"/>
      <c r="D4" s="184"/>
      <c r="E4" s="161"/>
      <c r="F4" s="160" t="s">
        <v>1014</v>
      </c>
      <c r="G4" s="161"/>
      <c r="I4" s="160" t="s">
        <v>1012</v>
      </c>
      <c r="J4" s="161"/>
    </row>
    <row r="5" spans="1:19" s="110" customFormat="1" x14ac:dyDescent="0.2">
      <c r="A5" s="110">
        <v>2503</v>
      </c>
      <c r="B5" s="189" t="s">
        <v>77</v>
      </c>
      <c r="C5" s="184"/>
      <c r="D5" s="184"/>
      <c r="E5" s="184">
        <v>2180</v>
      </c>
      <c r="F5" s="184" t="s">
        <v>391</v>
      </c>
      <c r="G5" s="184"/>
      <c r="H5" s="122"/>
      <c r="I5" s="201" t="s">
        <v>379</v>
      </c>
      <c r="J5" s="184"/>
      <c r="K5" s="122"/>
      <c r="L5"/>
      <c r="M5"/>
      <c r="O5"/>
      <c r="P5"/>
    </row>
    <row r="6" spans="1:19" s="110" customFormat="1" x14ac:dyDescent="0.2">
      <c r="A6" s="110">
        <v>2505</v>
      </c>
      <c r="B6" s="184" t="s">
        <v>266</v>
      </c>
      <c r="C6" s="184"/>
      <c r="D6" s="184"/>
      <c r="E6" s="184">
        <v>2346</v>
      </c>
      <c r="F6" s="201" t="s">
        <v>73</v>
      </c>
      <c r="G6" s="186"/>
      <c r="H6" s="122"/>
      <c r="I6" s="184" t="s">
        <v>290</v>
      </c>
      <c r="J6" s="186"/>
      <c r="K6" s="122"/>
      <c r="L6"/>
      <c r="M6"/>
      <c r="O6"/>
      <c r="P6"/>
      <c r="S6" s="123"/>
    </row>
    <row r="7" spans="1:19" s="110" customFormat="1" x14ac:dyDescent="0.2">
      <c r="A7" s="184">
        <v>2502</v>
      </c>
      <c r="B7" s="184" t="s">
        <v>942</v>
      </c>
      <c r="C7" s="184"/>
      <c r="D7" s="184"/>
      <c r="E7" s="184">
        <v>1040</v>
      </c>
      <c r="F7" s="184" t="s">
        <v>78</v>
      </c>
      <c r="G7" s="184"/>
      <c r="H7" s="122"/>
      <c r="I7" s="184" t="s">
        <v>289</v>
      </c>
      <c r="J7" s="184"/>
      <c r="K7" s="122"/>
      <c r="M7" s="186"/>
      <c r="O7"/>
      <c r="P7"/>
      <c r="S7" s="123"/>
    </row>
    <row r="8" spans="1:19" s="110" customFormat="1" x14ac:dyDescent="0.2">
      <c r="A8" s="184">
        <v>1779</v>
      </c>
      <c r="B8" s="184" t="s">
        <v>91</v>
      </c>
      <c r="C8" s="186"/>
      <c r="D8" s="184"/>
      <c r="E8" s="184">
        <v>2993</v>
      </c>
      <c r="F8" s="184" t="s">
        <v>342</v>
      </c>
      <c r="G8" s="186"/>
      <c r="H8" s="122"/>
      <c r="I8" s="189" t="s">
        <v>286</v>
      </c>
      <c r="J8" s="186"/>
      <c r="K8" s="122"/>
      <c r="P8"/>
      <c r="S8" s="123"/>
    </row>
    <row r="9" spans="1:19" s="110" customFormat="1" x14ac:dyDescent="0.2">
      <c r="A9" s="110">
        <v>2667</v>
      </c>
      <c r="B9" s="202" t="s">
        <v>26</v>
      </c>
      <c r="C9" s="184"/>
      <c r="D9" s="184"/>
      <c r="E9" s="184">
        <v>1777</v>
      </c>
      <c r="F9" s="184" t="s">
        <v>7</v>
      </c>
      <c r="G9" s="184"/>
      <c r="H9" s="330" t="s">
        <v>1016</v>
      </c>
      <c r="I9" s="189" t="s">
        <v>6</v>
      </c>
      <c r="J9" s="184"/>
      <c r="K9" s="122"/>
      <c r="N9" s="184"/>
      <c r="O9"/>
      <c r="P9"/>
    </row>
    <row r="10" spans="1:19" s="110" customFormat="1" x14ac:dyDescent="0.2">
      <c r="A10" s="110">
        <v>1778</v>
      </c>
      <c r="C10" s="186"/>
      <c r="D10" s="184"/>
      <c r="E10" s="184"/>
      <c r="G10" s="186"/>
      <c r="H10" s="184"/>
      <c r="N10" s="184"/>
      <c r="O10"/>
      <c r="P10"/>
    </row>
    <row r="11" spans="1:19" s="110" customFormat="1" x14ac:dyDescent="0.2">
      <c r="C11" s="186"/>
      <c r="D11" s="184"/>
      <c r="E11" s="184"/>
      <c r="G11" s="186"/>
      <c r="H11" s="184"/>
      <c r="N11" s="184"/>
      <c r="O11"/>
      <c r="P11"/>
    </row>
    <row r="12" spans="1:19" x14ac:dyDescent="0.2">
      <c r="B12" s="184"/>
      <c r="C12" s="184"/>
      <c r="D12" s="184"/>
      <c r="E12" s="184"/>
      <c r="F12" s="184"/>
      <c r="G12" s="186"/>
      <c r="H12" s="184"/>
      <c r="K12" s="184"/>
      <c r="M12" s="184"/>
      <c r="N12" s="188"/>
      <c r="O12" s="110"/>
    </row>
    <row r="13" spans="1:19" x14ac:dyDescent="0.2">
      <c r="A13" s="161"/>
      <c r="B13" s="160" t="s">
        <v>1004</v>
      </c>
      <c r="C13" s="161"/>
      <c r="D13" s="184"/>
      <c r="E13" s="161"/>
      <c r="F13" s="160" t="s">
        <v>1002</v>
      </c>
      <c r="G13" s="163"/>
      <c r="H13" s="184"/>
      <c r="I13" s="160" t="s">
        <v>1015</v>
      </c>
      <c r="J13" s="161"/>
      <c r="N13" s="188"/>
      <c r="O13" s="110"/>
    </row>
    <row r="14" spans="1:19" s="110" customFormat="1" x14ac:dyDescent="0.2">
      <c r="A14" s="184">
        <v>2366</v>
      </c>
      <c r="B14" s="184" t="s">
        <v>174</v>
      </c>
      <c r="C14" s="184"/>
      <c r="D14" s="184"/>
      <c r="E14" s="184">
        <v>2857</v>
      </c>
      <c r="F14" s="189" t="s">
        <v>28</v>
      </c>
      <c r="G14" s="184"/>
      <c r="H14" s="122"/>
      <c r="I14" s="202" t="s">
        <v>1008</v>
      </c>
      <c r="J14" s="184"/>
      <c r="N14" s="188"/>
    </row>
    <row r="15" spans="1:19" s="110" customFormat="1" x14ac:dyDescent="0.2">
      <c r="A15" s="184">
        <v>2520</v>
      </c>
      <c r="B15" s="202" t="s">
        <v>66</v>
      </c>
      <c r="C15" s="186"/>
      <c r="D15" s="184"/>
      <c r="E15" s="184">
        <v>1618</v>
      </c>
      <c r="F15" s="202" t="s">
        <v>96</v>
      </c>
      <c r="G15" s="186"/>
      <c r="H15" s="122"/>
      <c r="I15" s="184" t="s">
        <v>1010</v>
      </c>
      <c r="J15" s="186"/>
      <c r="N15" s="188"/>
    </row>
    <row r="16" spans="1:19" s="110" customFormat="1" x14ac:dyDescent="0.2">
      <c r="A16" s="184">
        <v>2970</v>
      </c>
      <c r="B16" s="184" t="s">
        <v>264</v>
      </c>
      <c r="C16" s="186"/>
      <c r="D16" s="184"/>
      <c r="E16" s="184">
        <v>2289</v>
      </c>
      <c r="F16" s="184" t="s">
        <v>4</v>
      </c>
      <c r="G16" s="186"/>
      <c r="H16" s="122"/>
      <c r="I16" s="184" t="s">
        <v>1011</v>
      </c>
      <c r="J16" s="186"/>
      <c r="N16" s="188"/>
    </row>
    <row r="17" spans="1:15" s="110" customFormat="1" x14ac:dyDescent="0.2">
      <c r="A17" s="184"/>
      <c r="C17" s="186"/>
      <c r="D17" s="184"/>
      <c r="E17" s="184"/>
      <c r="G17" s="186"/>
      <c r="H17" s="330" t="s">
        <v>1016</v>
      </c>
      <c r="I17" s="184" t="s">
        <v>1009</v>
      </c>
      <c r="J17" s="186"/>
      <c r="N17" s="188"/>
    </row>
    <row r="18" spans="1:15" s="110" customFormat="1" x14ac:dyDescent="0.2">
      <c r="C18" s="190"/>
      <c r="D18" s="122"/>
      <c r="E18" s="184"/>
      <c r="G18" s="184"/>
      <c r="H18" s="122"/>
      <c r="J18" s="125"/>
      <c r="N18" s="188"/>
    </row>
    <row r="19" spans="1:15" s="110" customFormat="1" x14ac:dyDescent="0.2">
      <c r="C19" s="190"/>
      <c r="D19" s="122"/>
      <c r="E19" s="184"/>
      <c r="F19" s="184"/>
      <c r="G19" s="184"/>
      <c r="H19" s="122"/>
      <c r="I19" s="184"/>
      <c r="L19" s="184"/>
      <c r="M19" s="125"/>
      <c r="N19" s="188"/>
    </row>
    <row r="20" spans="1:15" x14ac:dyDescent="0.2">
      <c r="B20" s="184"/>
      <c r="C20" s="186"/>
      <c r="D20" s="122"/>
      <c r="E20" s="184"/>
      <c r="F20" s="184"/>
      <c r="G20" s="186"/>
      <c r="H20" s="122"/>
      <c r="I20" s="184"/>
      <c r="K20" s="184"/>
      <c r="M20" s="125"/>
      <c r="N20" s="110"/>
      <c r="O20" s="110"/>
    </row>
    <row r="21" spans="1:15" x14ac:dyDescent="0.2">
      <c r="A21" s="124"/>
      <c r="B21" s="162" t="s">
        <v>1005</v>
      </c>
      <c r="C21" s="163"/>
      <c r="D21" s="184"/>
      <c r="E21" s="161"/>
      <c r="F21" s="162" t="s">
        <v>1013</v>
      </c>
      <c r="G21" s="163"/>
      <c r="H21" s="184"/>
      <c r="I21" s="162" t="s">
        <v>1003</v>
      </c>
      <c r="J21" s="163"/>
      <c r="K21" s="184"/>
      <c r="L21" s="162" t="s">
        <v>1006</v>
      </c>
      <c r="M21" s="163"/>
    </row>
    <row r="22" spans="1:15" s="110" customFormat="1" x14ac:dyDescent="0.2">
      <c r="A22" s="110">
        <v>1196</v>
      </c>
      <c r="B22" s="184" t="s">
        <v>261</v>
      </c>
      <c r="C22" s="186"/>
      <c r="D22" s="184"/>
      <c r="E22" s="184">
        <v>463</v>
      </c>
      <c r="F22" s="201" t="s">
        <v>343</v>
      </c>
      <c r="H22" s="184"/>
      <c r="I22" s="202" t="s">
        <v>356</v>
      </c>
      <c r="J22" s="186"/>
      <c r="K22" s="184"/>
      <c r="L22" s="202" t="s">
        <v>689</v>
      </c>
      <c r="M22" s="186"/>
    </row>
    <row r="23" spans="1:15" s="110" customFormat="1" x14ac:dyDescent="0.2">
      <c r="A23" s="110">
        <v>2291</v>
      </c>
      <c r="B23" s="202" t="s">
        <v>498</v>
      </c>
      <c r="C23" s="186"/>
      <c r="D23" s="184"/>
      <c r="E23" s="184">
        <v>2347</v>
      </c>
      <c r="F23" s="184" t="s">
        <v>502</v>
      </c>
      <c r="H23" s="184"/>
      <c r="I23" s="189" t="s">
        <v>101</v>
      </c>
      <c r="J23" s="186"/>
      <c r="K23" s="186"/>
      <c r="L23" s="189" t="s">
        <v>1007</v>
      </c>
      <c r="M23" s="247"/>
    </row>
    <row r="24" spans="1:15" s="110" customFormat="1" x14ac:dyDescent="0.2">
      <c r="A24">
        <v>2181</v>
      </c>
      <c r="B24" s="189" t="s">
        <v>295</v>
      </c>
      <c r="C24" s="186"/>
      <c r="D24" s="122"/>
      <c r="E24" s="184">
        <v>1619</v>
      </c>
      <c r="F24" s="189" t="s">
        <v>187</v>
      </c>
      <c r="H24" s="184"/>
      <c r="I24" s="184" t="s">
        <v>52</v>
      </c>
      <c r="J24" s="186"/>
      <c r="K24"/>
      <c r="L24" s="184" t="s">
        <v>661</v>
      </c>
      <c r="M24" s="186"/>
    </row>
    <row r="25" spans="1:15" s="110" customFormat="1" x14ac:dyDescent="0.2">
      <c r="A25">
        <v>2129</v>
      </c>
      <c r="B25" s="189" t="s">
        <v>957</v>
      </c>
      <c r="C25" s="186"/>
      <c r="D25" s="184"/>
      <c r="E25" s="186"/>
      <c r="I25" s="184"/>
      <c r="J25" s="186"/>
      <c r="L25" s="184"/>
      <c r="M25" s="186"/>
    </row>
    <row r="27" spans="1:15" x14ac:dyDescent="0.2">
      <c r="B27" s="202" t="s">
        <v>348</v>
      </c>
      <c r="F27" s="202" t="s">
        <v>622</v>
      </c>
      <c r="G27" s="159"/>
    </row>
    <row r="28" spans="1:15" x14ac:dyDescent="0.2">
      <c r="B28" t="s">
        <v>53</v>
      </c>
      <c r="C28" s="189"/>
      <c r="F28" s="184" t="s">
        <v>581</v>
      </c>
      <c r="G28" s="159"/>
    </row>
    <row r="29" spans="1:15" x14ac:dyDescent="0.2">
      <c r="B29" s="189" t="s">
        <v>125</v>
      </c>
      <c r="C29" s="184"/>
      <c r="F29" s="189" t="s">
        <v>265</v>
      </c>
      <c r="G29" s="159"/>
    </row>
    <row r="30" spans="1:15" x14ac:dyDescent="0.2">
      <c r="B30" s="189" t="s">
        <v>23</v>
      </c>
      <c r="C30" s="184"/>
      <c r="G30" s="159"/>
    </row>
    <row r="31" spans="1:15" x14ac:dyDescent="0.2">
      <c r="B31" s="189" t="s">
        <v>119</v>
      </c>
      <c r="C31" s="184"/>
    </row>
    <row r="32" spans="1:15" x14ac:dyDescent="0.2">
      <c r="B32" s="189" t="s">
        <v>74</v>
      </c>
      <c r="C32" s="184"/>
    </row>
    <row r="33" spans="1:19" x14ac:dyDescent="0.2">
      <c r="A33" s="110">
        <v>1365</v>
      </c>
      <c r="B33" s="189" t="s">
        <v>956</v>
      </c>
      <c r="C33" s="189"/>
    </row>
    <row r="34" spans="1:19" x14ac:dyDescent="0.2">
      <c r="A34">
        <v>1436</v>
      </c>
      <c r="B34" s="189" t="s">
        <v>90</v>
      </c>
      <c r="C34" s="189"/>
    </row>
    <row r="35" spans="1:19" x14ac:dyDescent="0.2">
      <c r="A35" s="110">
        <v>2130</v>
      </c>
      <c r="B35" s="189" t="s">
        <v>371</v>
      </c>
    </row>
    <row r="36" spans="1:19" x14ac:dyDescent="0.2">
      <c r="B36" s="189" t="s">
        <v>963</v>
      </c>
    </row>
    <row r="37" spans="1:19" x14ac:dyDescent="0.2">
      <c r="B37" s="184" t="s">
        <v>358</v>
      </c>
    </row>
    <row r="38" spans="1:19" x14ac:dyDescent="0.2">
      <c r="B38" s="184" t="s">
        <v>649</v>
      </c>
    </row>
    <row r="39" spans="1:19" x14ac:dyDescent="0.2">
      <c r="C39" s="186"/>
    </row>
    <row r="40" spans="1:19" ht="23.25" x14ac:dyDescent="0.35">
      <c r="B40" s="111" t="s">
        <v>998</v>
      </c>
    </row>
    <row r="41" spans="1:19" x14ac:dyDescent="0.2">
      <c r="B41" t="s">
        <v>621</v>
      </c>
    </row>
    <row r="43" spans="1:19" x14ac:dyDescent="0.2">
      <c r="A43" s="124"/>
      <c r="B43" s="160" t="s">
        <v>619</v>
      </c>
      <c r="C43" s="161" t="s">
        <v>302</v>
      </c>
      <c r="D43" s="184"/>
      <c r="E43" s="161"/>
      <c r="F43" s="160" t="s">
        <v>620</v>
      </c>
      <c r="G43" s="161" t="s">
        <v>372</v>
      </c>
    </row>
    <row r="44" spans="1:19" s="110" customFormat="1" x14ac:dyDescent="0.2">
      <c r="A44" s="110">
        <v>2503</v>
      </c>
      <c r="B44" s="184" t="s">
        <v>91</v>
      </c>
      <c r="C44" s="184">
        <v>13.23</v>
      </c>
      <c r="D44" s="184"/>
      <c r="E44" s="184">
        <v>2180</v>
      </c>
      <c r="F44" s="184" t="s">
        <v>379</v>
      </c>
      <c r="G44" s="184">
        <v>15.04</v>
      </c>
      <c r="H44" s="122"/>
      <c r="I44"/>
      <c r="J44"/>
      <c r="K44"/>
      <c r="L44" s="123"/>
      <c r="O44"/>
      <c r="P44"/>
    </row>
    <row r="45" spans="1:19" s="110" customFormat="1" x14ac:dyDescent="0.2">
      <c r="A45" s="110">
        <v>2505</v>
      </c>
      <c r="B45" s="184" t="s">
        <v>266</v>
      </c>
      <c r="C45" s="184">
        <v>12.45</v>
      </c>
      <c r="D45" s="184"/>
      <c r="E45" s="184">
        <v>2346</v>
      </c>
      <c r="F45" s="184" t="s">
        <v>274</v>
      </c>
      <c r="G45" s="186">
        <v>14.11</v>
      </c>
      <c r="H45" s="122"/>
      <c r="I45"/>
      <c r="K45"/>
      <c r="O45"/>
      <c r="P45"/>
      <c r="S45" s="123"/>
    </row>
    <row r="46" spans="1:19" s="110" customFormat="1" x14ac:dyDescent="0.2">
      <c r="A46" s="184">
        <v>2502</v>
      </c>
      <c r="B46" s="184" t="s">
        <v>342</v>
      </c>
      <c r="C46" s="184">
        <v>13.48</v>
      </c>
      <c r="D46" s="184"/>
      <c r="E46" s="184">
        <v>1040</v>
      </c>
      <c r="F46" s="189" t="s">
        <v>125</v>
      </c>
      <c r="G46" s="184">
        <v>19.29</v>
      </c>
      <c r="H46" s="122"/>
      <c r="I46" s="184"/>
      <c r="O46"/>
      <c r="P46"/>
      <c r="S46" s="123"/>
    </row>
    <row r="47" spans="1:19" s="110" customFormat="1" x14ac:dyDescent="0.2">
      <c r="A47" s="184">
        <v>1779</v>
      </c>
      <c r="B47" s="184" t="s">
        <v>174</v>
      </c>
      <c r="C47" s="186">
        <v>13.57</v>
      </c>
      <c r="D47" s="184"/>
      <c r="E47" s="184">
        <v>2993</v>
      </c>
      <c r="F47" s="189" t="s">
        <v>23</v>
      </c>
      <c r="G47" s="186">
        <v>27.42</v>
      </c>
      <c r="H47" s="122"/>
      <c r="I47" s="184"/>
      <c r="P47"/>
      <c r="S47" s="123"/>
    </row>
    <row r="48" spans="1:19" s="110" customFormat="1" x14ac:dyDescent="0.2">
      <c r="A48" s="110">
        <v>2667</v>
      </c>
      <c r="B48" s="184" t="s">
        <v>26</v>
      </c>
      <c r="C48" s="184">
        <v>13.41</v>
      </c>
      <c r="D48" s="184"/>
      <c r="E48" s="184">
        <v>1777</v>
      </c>
      <c r="F48" s="184"/>
      <c r="G48" s="184"/>
      <c r="H48" s="122"/>
      <c r="I48" s="184"/>
      <c r="N48" s="184"/>
      <c r="O48"/>
      <c r="P48"/>
    </row>
    <row r="49" spans="1:16" s="110" customFormat="1" x14ac:dyDescent="0.2">
      <c r="A49" s="110">
        <v>1778</v>
      </c>
      <c r="B49" s="184"/>
      <c r="C49" s="186"/>
      <c r="D49" s="184"/>
      <c r="E49" s="184"/>
      <c r="F49" s="184"/>
      <c r="G49" s="186"/>
      <c r="H49" s="184"/>
      <c r="I49" s="184"/>
      <c r="N49" s="184"/>
      <c r="O49"/>
      <c r="P49"/>
    </row>
    <row r="50" spans="1:16" x14ac:dyDescent="0.2">
      <c r="B50" s="184"/>
      <c r="C50" s="184"/>
      <c r="D50" s="184"/>
      <c r="E50" s="184"/>
      <c r="F50" s="184"/>
      <c r="G50" s="186"/>
      <c r="H50" s="184"/>
      <c r="I50" s="184"/>
      <c r="K50" s="184"/>
      <c r="M50" s="184"/>
      <c r="N50" s="188"/>
      <c r="O50" s="110"/>
    </row>
    <row r="51" spans="1:16" x14ac:dyDescent="0.2">
      <c r="A51" s="161"/>
      <c r="B51" s="160" t="s">
        <v>370</v>
      </c>
      <c r="C51" s="161" t="s">
        <v>623</v>
      </c>
      <c r="D51" s="184"/>
      <c r="E51" s="161"/>
      <c r="F51" s="160" t="s">
        <v>344</v>
      </c>
      <c r="G51" s="163" t="s">
        <v>349</v>
      </c>
      <c r="H51" s="184"/>
      <c r="L51" s="184"/>
      <c r="M51" s="184"/>
      <c r="N51" s="188"/>
      <c r="O51" s="110"/>
    </row>
    <row r="52" spans="1:16" s="110" customFormat="1" x14ac:dyDescent="0.2">
      <c r="A52" s="184">
        <v>2366</v>
      </c>
      <c r="B52" s="184" t="s">
        <v>371</v>
      </c>
      <c r="C52" s="184">
        <v>15.33</v>
      </c>
      <c r="D52" s="184"/>
      <c r="E52" s="184">
        <v>2857</v>
      </c>
      <c r="F52" s="189" t="s">
        <v>28</v>
      </c>
      <c r="G52" s="184">
        <v>13.43</v>
      </c>
      <c r="H52" s="122"/>
      <c r="L52" s="184"/>
      <c r="M52" s="125"/>
      <c r="N52" s="188"/>
    </row>
    <row r="53" spans="1:16" s="110" customFormat="1" x14ac:dyDescent="0.2">
      <c r="A53" s="184">
        <v>2520</v>
      </c>
      <c r="B53" s="184" t="s">
        <v>289</v>
      </c>
      <c r="C53" s="186">
        <v>21.43</v>
      </c>
      <c r="D53" s="184"/>
      <c r="E53" s="184">
        <v>1618</v>
      </c>
      <c r="F53" s="184" t="s">
        <v>4</v>
      </c>
      <c r="G53" s="186">
        <v>13.03</v>
      </c>
      <c r="H53" s="122"/>
      <c r="L53" s="184"/>
      <c r="M53" s="125"/>
      <c r="N53" s="188"/>
    </row>
    <row r="54" spans="1:16" s="110" customFormat="1" x14ac:dyDescent="0.2">
      <c r="A54" s="184">
        <v>2970</v>
      </c>
      <c r="B54" s="184" t="s">
        <v>290</v>
      </c>
      <c r="C54" s="186">
        <v>15.31</v>
      </c>
      <c r="D54" s="184"/>
      <c r="E54" s="184">
        <v>2289</v>
      </c>
      <c r="F54" s="184" t="s">
        <v>7</v>
      </c>
      <c r="G54" s="186">
        <v>14.46</v>
      </c>
      <c r="H54" s="122"/>
      <c r="L54" s="122"/>
      <c r="M54" s="125"/>
      <c r="N54" s="188"/>
    </row>
    <row r="55" spans="1:16" s="110" customFormat="1" x14ac:dyDescent="0.2">
      <c r="B55" s="184"/>
      <c r="C55" s="190"/>
      <c r="D55" s="122"/>
      <c r="E55" s="184"/>
      <c r="F55" s="184"/>
      <c r="G55" s="184"/>
      <c r="H55" s="122"/>
      <c r="M55" s="125"/>
      <c r="N55" s="188"/>
    </row>
    <row r="56" spans="1:16" x14ac:dyDescent="0.2">
      <c r="B56" s="184"/>
      <c r="C56" s="186"/>
      <c r="D56" s="122"/>
      <c r="E56" s="184"/>
      <c r="F56" s="184"/>
      <c r="G56" s="186"/>
      <c r="H56" s="122"/>
      <c r="I56" s="184"/>
      <c r="K56" s="184"/>
      <c r="M56" s="125"/>
      <c r="N56" s="110"/>
      <c r="O56" s="110"/>
    </row>
    <row r="57" spans="1:16" x14ac:dyDescent="0.2">
      <c r="A57" s="124"/>
      <c r="B57" s="162" t="s">
        <v>156</v>
      </c>
      <c r="C57" s="163" t="s">
        <v>360</v>
      </c>
      <c r="D57" s="184"/>
      <c r="E57" s="161"/>
      <c r="F57" s="162" t="s">
        <v>345</v>
      </c>
      <c r="G57" s="163" t="s">
        <v>349</v>
      </c>
      <c r="H57" s="184"/>
      <c r="I57" s="184"/>
      <c r="J57" s="110"/>
      <c r="K57" s="184"/>
      <c r="M57" s="125"/>
    </row>
    <row r="58" spans="1:16" s="110" customFormat="1" x14ac:dyDescent="0.2">
      <c r="A58" s="110">
        <v>1196</v>
      </c>
      <c r="B58" s="184" t="s">
        <v>295</v>
      </c>
      <c r="C58" s="186">
        <v>20.239999999999998</v>
      </c>
      <c r="D58" s="184"/>
      <c r="E58" s="184">
        <v>463</v>
      </c>
      <c r="F58" s="184" t="s">
        <v>356</v>
      </c>
      <c r="G58" s="186">
        <v>15.06</v>
      </c>
      <c r="H58" s="184"/>
      <c r="I58" s="184"/>
      <c r="K58" s="184"/>
      <c r="L58" s="123"/>
      <c r="M58" s="125"/>
    </row>
    <row r="59" spans="1:16" s="110" customFormat="1" x14ac:dyDescent="0.2">
      <c r="A59" s="110">
        <v>2291</v>
      </c>
      <c r="B59" s="184" t="s">
        <v>343</v>
      </c>
      <c r="C59" s="186">
        <v>18.52</v>
      </c>
      <c r="D59" s="184"/>
      <c r="E59" s="184">
        <v>2347</v>
      </c>
      <c r="F59" s="189" t="s">
        <v>498</v>
      </c>
      <c r="G59" s="186">
        <v>16.43</v>
      </c>
      <c r="H59" s="184"/>
      <c r="I59" s="184"/>
      <c r="K59" s="186"/>
      <c r="L59" s="123"/>
      <c r="M59" s="125"/>
    </row>
    <row r="60" spans="1:16" s="110" customFormat="1" x14ac:dyDescent="0.2">
      <c r="A60">
        <v>2181</v>
      </c>
      <c r="B60" s="184" t="s">
        <v>386</v>
      </c>
      <c r="C60" s="186">
        <v>20.09</v>
      </c>
      <c r="D60" s="122"/>
      <c r="E60" s="184">
        <v>1619</v>
      </c>
      <c r="F60" s="184" t="s">
        <v>52</v>
      </c>
      <c r="G60" s="186">
        <v>16.11</v>
      </c>
      <c r="H60" s="184"/>
      <c r="I60" s="184"/>
      <c r="K60"/>
      <c r="L60" s="123"/>
    </row>
    <row r="61" spans="1:16" s="110" customFormat="1" x14ac:dyDescent="0.2">
      <c r="A61">
        <v>2129</v>
      </c>
      <c r="B61" s="189" t="s">
        <v>53</v>
      </c>
      <c r="C61" s="186">
        <v>23.44</v>
      </c>
      <c r="D61" s="184"/>
      <c r="E61" s="186"/>
      <c r="F61" s="184"/>
      <c r="G61" s="186"/>
      <c r="M61" s="125"/>
    </row>
    <row r="63" spans="1:16" x14ac:dyDescent="0.2">
      <c r="G63" s="159"/>
    </row>
    <row r="64" spans="1:16" x14ac:dyDescent="0.2">
      <c r="G64" s="159"/>
    </row>
    <row r="65" spans="1:7" x14ac:dyDescent="0.2">
      <c r="B65" s="202" t="s">
        <v>348</v>
      </c>
      <c r="G65" s="159"/>
    </row>
    <row r="66" spans="1:7" x14ac:dyDescent="0.2">
      <c r="B66" s="184" t="s">
        <v>78</v>
      </c>
      <c r="C66" s="189" t="s">
        <v>119</v>
      </c>
      <c r="G66" s="159"/>
    </row>
    <row r="67" spans="1:7" x14ac:dyDescent="0.2">
      <c r="B67" t="s">
        <v>55</v>
      </c>
      <c r="C67" s="184" t="s">
        <v>286</v>
      </c>
      <c r="G67" s="159"/>
    </row>
    <row r="68" spans="1:7" x14ac:dyDescent="0.2">
      <c r="B68" t="s">
        <v>261</v>
      </c>
      <c r="C68" s="184" t="s">
        <v>73</v>
      </c>
      <c r="F68" s="202" t="s">
        <v>622</v>
      </c>
      <c r="G68" s="159"/>
    </row>
    <row r="69" spans="1:7" x14ac:dyDescent="0.2">
      <c r="B69" s="189" t="s">
        <v>66</v>
      </c>
      <c r="C69" s="184" t="s">
        <v>394</v>
      </c>
      <c r="F69" s="184" t="s">
        <v>581</v>
      </c>
    </row>
    <row r="70" spans="1:7" x14ac:dyDescent="0.2">
      <c r="B70" s="184" t="s">
        <v>90</v>
      </c>
      <c r="C70" s="184" t="s">
        <v>563</v>
      </c>
      <c r="F70" s="184" t="s">
        <v>25</v>
      </c>
    </row>
    <row r="71" spans="1:7" x14ac:dyDescent="0.2">
      <c r="A71" s="110">
        <v>1365</v>
      </c>
      <c r="B71" s="189" t="s">
        <v>25</v>
      </c>
      <c r="C71" s="189" t="s">
        <v>74</v>
      </c>
      <c r="F71" s="184" t="s">
        <v>98</v>
      </c>
    </row>
    <row r="72" spans="1:7" x14ac:dyDescent="0.2">
      <c r="A72">
        <v>1436</v>
      </c>
      <c r="B72" s="184" t="s">
        <v>98</v>
      </c>
      <c r="C72" s="189" t="s">
        <v>296</v>
      </c>
    </row>
    <row r="73" spans="1:7" x14ac:dyDescent="0.2">
      <c r="A73" s="110">
        <v>2130</v>
      </c>
      <c r="B73" s="184" t="s">
        <v>502</v>
      </c>
    </row>
    <row r="75" spans="1:7" x14ac:dyDescent="0.2">
      <c r="B75" s="184"/>
      <c r="C75" s="186"/>
    </row>
    <row r="78" spans="1:7" ht="23.25" x14ac:dyDescent="0.35">
      <c r="B78" s="111" t="s">
        <v>618</v>
      </c>
    </row>
    <row r="79" spans="1:7" x14ac:dyDescent="0.2">
      <c r="B79" t="s">
        <v>613</v>
      </c>
    </row>
    <row r="81" spans="1:19" x14ac:dyDescent="0.2">
      <c r="A81" s="161"/>
      <c r="B81" s="160" t="s">
        <v>346</v>
      </c>
      <c r="C81" s="161" t="s">
        <v>614</v>
      </c>
      <c r="E81" s="161"/>
      <c r="F81" s="160" t="s">
        <v>347</v>
      </c>
      <c r="G81" s="161" t="s">
        <v>585</v>
      </c>
    </row>
    <row r="82" spans="1:19" s="184" customFormat="1" x14ac:dyDescent="0.2">
      <c r="A82" s="184">
        <v>2388</v>
      </c>
      <c r="B82" s="184" t="s">
        <v>94</v>
      </c>
      <c r="C82" s="184">
        <v>12.05</v>
      </c>
      <c r="E82" s="184">
        <v>1858</v>
      </c>
      <c r="F82" s="184" t="s">
        <v>379</v>
      </c>
      <c r="G82" s="184">
        <v>15.13</v>
      </c>
      <c r="H82" s="122"/>
      <c r="I82"/>
      <c r="K82"/>
      <c r="L82" s="122"/>
      <c r="O82"/>
      <c r="P82"/>
    </row>
    <row r="83" spans="1:19" s="184" customFormat="1" x14ac:dyDescent="0.2">
      <c r="A83" s="184">
        <v>2011</v>
      </c>
      <c r="B83" s="189" t="s">
        <v>154</v>
      </c>
      <c r="C83" s="186">
        <v>12.27</v>
      </c>
      <c r="E83" s="184">
        <v>2345</v>
      </c>
      <c r="F83" s="184" t="s">
        <v>23</v>
      </c>
      <c r="G83" s="184">
        <v>18.47</v>
      </c>
      <c r="H83" s="122"/>
      <c r="I83"/>
      <c r="K83"/>
      <c r="O83"/>
      <c r="P83"/>
      <c r="S83" s="122"/>
    </row>
    <row r="84" spans="1:19" s="184" customFormat="1" x14ac:dyDescent="0.2">
      <c r="A84" s="184">
        <v>2344</v>
      </c>
      <c r="B84" s="189" t="s">
        <v>91</v>
      </c>
      <c r="C84" s="184">
        <v>13.28</v>
      </c>
      <c r="E84" s="184">
        <v>1480</v>
      </c>
      <c r="F84" s="184" t="s">
        <v>290</v>
      </c>
      <c r="G84" s="184">
        <v>15.52</v>
      </c>
      <c r="H84" s="122"/>
      <c r="O84"/>
      <c r="P84"/>
      <c r="S84" s="122"/>
    </row>
    <row r="85" spans="1:19" s="184" customFormat="1" x14ac:dyDescent="0.2">
      <c r="A85" s="184">
        <v>2325</v>
      </c>
      <c r="B85" s="189" t="s">
        <v>77</v>
      </c>
      <c r="C85" s="184">
        <v>13.38</v>
      </c>
      <c r="E85" s="184">
        <v>1482</v>
      </c>
      <c r="F85" s="184" t="s">
        <v>289</v>
      </c>
      <c r="G85" s="186">
        <v>17.36</v>
      </c>
      <c r="H85" s="122"/>
      <c r="P85"/>
      <c r="S85" s="122"/>
    </row>
    <row r="86" spans="1:19" s="184" customFormat="1" x14ac:dyDescent="0.2">
      <c r="A86" s="184">
        <v>1642</v>
      </c>
      <c r="B86" s="184" t="s">
        <v>342</v>
      </c>
      <c r="C86" s="184">
        <v>13.44</v>
      </c>
      <c r="E86" s="184">
        <v>1878</v>
      </c>
      <c r="F86" s="184" t="s">
        <v>119</v>
      </c>
      <c r="G86" s="184">
        <v>22.06</v>
      </c>
      <c r="H86" s="122"/>
      <c r="J86" s="189"/>
      <c r="O86"/>
      <c r="P86"/>
    </row>
    <row r="87" spans="1:19" s="184" customFormat="1" x14ac:dyDescent="0.2">
      <c r="A87" s="184">
        <v>1704</v>
      </c>
      <c r="B87" s="184" t="s">
        <v>266</v>
      </c>
      <c r="C87" s="186">
        <v>13.14</v>
      </c>
      <c r="G87" s="186"/>
      <c r="O87"/>
      <c r="P87"/>
    </row>
    <row r="88" spans="1:19" s="184" customFormat="1" x14ac:dyDescent="0.2">
      <c r="G88" s="186"/>
      <c r="O88"/>
      <c r="P88"/>
    </row>
    <row r="89" spans="1:19" x14ac:dyDescent="0.2">
      <c r="B89" s="184"/>
      <c r="C89" s="184"/>
      <c r="D89" s="184"/>
      <c r="E89" s="184"/>
      <c r="F89" s="184"/>
      <c r="G89" s="186"/>
      <c r="H89" s="184"/>
      <c r="I89" s="184"/>
      <c r="J89" s="184"/>
      <c r="K89" s="184"/>
      <c r="M89" s="184"/>
      <c r="N89" s="188"/>
      <c r="O89" s="184"/>
    </row>
    <row r="90" spans="1:19" x14ac:dyDescent="0.2">
      <c r="A90" s="161"/>
      <c r="B90" s="160" t="s">
        <v>155</v>
      </c>
      <c r="C90" s="161" t="s">
        <v>491</v>
      </c>
      <c r="D90" s="184"/>
      <c r="E90" s="161"/>
      <c r="F90" s="160" t="s">
        <v>344</v>
      </c>
      <c r="G90" s="163" t="s">
        <v>615</v>
      </c>
      <c r="I90" s="184"/>
      <c r="J90" s="184"/>
      <c r="K90" s="184"/>
      <c r="L90" s="184"/>
      <c r="M90" s="184"/>
      <c r="N90" s="188"/>
      <c r="O90" s="184"/>
    </row>
    <row r="91" spans="1:19" s="184" customFormat="1" x14ac:dyDescent="0.2">
      <c r="A91" s="184">
        <v>1450</v>
      </c>
      <c r="B91" s="184" t="s">
        <v>4</v>
      </c>
      <c r="C91" s="186">
        <v>12.35</v>
      </c>
      <c r="D91" s="122"/>
      <c r="E91" s="184">
        <v>2458</v>
      </c>
      <c r="F91" s="184" t="s">
        <v>616</v>
      </c>
      <c r="G91" s="186">
        <v>14.39</v>
      </c>
      <c r="M91" s="186"/>
      <c r="N91" s="188"/>
    </row>
    <row r="92" spans="1:19" s="184" customFormat="1" x14ac:dyDescent="0.2">
      <c r="A92" s="184">
        <v>1481</v>
      </c>
      <c r="B92" s="184" t="s">
        <v>26</v>
      </c>
      <c r="C92" s="186">
        <v>13.31</v>
      </c>
      <c r="D92" s="122"/>
      <c r="E92" s="184">
        <v>3098</v>
      </c>
      <c r="F92" s="184" t="s">
        <v>286</v>
      </c>
      <c r="G92" s="186">
        <v>15.2</v>
      </c>
      <c r="M92" s="186"/>
      <c r="N92" s="188"/>
    </row>
    <row r="93" spans="1:19" s="184" customFormat="1" x14ac:dyDescent="0.2">
      <c r="A93" s="184">
        <v>2403</v>
      </c>
      <c r="B93" s="189" t="s">
        <v>74</v>
      </c>
      <c r="C93" s="186">
        <v>14.02</v>
      </c>
      <c r="D93" s="122"/>
      <c r="E93" s="184">
        <v>2324</v>
      </c>
      <c r="F93" s="189" t="s">
        <v>25</v>
      </c>
      <c r="G93" s="186">
        <v>15.01</v>
      </c>
      <c r="L93" s="122"/>
      <c r="M93" s="186"/>
      <c r="N93" s="188"/>
    </row>
    <row r="94" spans="1:19" s="184" customFormat="1" x14ac:dyDescent="0.2">
      <c r="C94" s="190"/>
      <c r="D94" s="122"/>
      <c r="G94" s="190"/>
      <c r="H94" s="122"/>
      <c r="M94" s="186"/>
      <c r="N94" s="188"/>
    </row>
    <row r="95" spans="1:19" x14ac:dyDescent="0.2">
      <c r="B95" s="184"/>
      <c r="C95" s="186"/>
      <c r="D95" s="122"/>
      <c r="E95" s="184"/>
      <c r="F95" s="184"/>
      <c r="G95" s="186"/>
      <c r="H95" s="122"/>
      <c r="I95" s="184"/>
      <c r="J95" s="184"/>
      <c r="K95" s="184"/>
      <c r="M95" s="186"/>
      <c r="N95" s="184"/>
      <c r="O95" s="184"/>
    </row>
    <row r="96" spans="1:19" x14ac:dyDescent="0.2">
      <c r="A96" s="161"/>
      <c r="B96" s="162" t="s">
        <v>156</v>
      </c>
      <c r="C96" s="163" t="s">
        <v>611</v>
      </c>
      <c r="D96" s="184"/>
      <c r="E96" s="161"/>
      <c r="F96" s="162" t="s">
        <v>345</v>
      </c>
      <c r="G96" s="163" t="s">
        <v>617</v>
      </c>
      <c r="H96" s="184"/>
      <c r="I96" s="184"/>
      <c r="J96" s="184"/>
      <c r="K96" s="184"/>
      <c r="M96" s="186"/>
    </row>
    <row r="97" spans="1:13" s="184" customFormat="1" x14ac:dyDescent="0.2">
      <c r="A97" s="184">
        <v>1824</v>
      </c>
      <c r="B97" s="184" t="s">
        <v>195</v>
      </c>
      <c r="C97" s="186">
        <v>17.28</v>
      </c>
      <c r="E97" s="184">
        <v>1973</v>
      </c>
      <c r="F97" s="184" t="s">
        <v>101</v>
      </c>
      <c r="G97" s="186">
        <v>14.36</v>
      </c>
      <c r="L97" s="122"/>
      <c r="M97" s="186"/>
    </row>
    <row r="98" spans="1:13" s="184" customFormat="1" x14ac:dyDescent="0.2">
      <c r="A98" s="184">
        <v>1370</v>
      </c>
      <c r="B98" s="184" t="s">
        <v>498</v>
      </c>
      <c r="C98" s="186">
        <v>17.350000000000001</v>
      </c>
      <c r="E98" s="184">
        <v>2322</v>
      </c>
      <c r="F98" s="189" t="s">
        <v>356</v>
      </c>
      <c r="G98" s="186">
        <v>16.170000000000002</v>
      </c>
      <c r="L98" s="122"/>
      <c r="M98" s="186"/>
    </row>
    <row r="99" spans="1:13" s="184" customFormat="1" x14ac:dyDescent="0.2">
      <c r="A99">
        <v>1705</v>
      </c>
      <c r="B99" s="184" t="s">
        <v>343</v>
      </c>
      <c r="C99" s="186">
        <v>19.07</v>
      </c>
      <c r="D99" s="122"/>
      <c r="E99" s="184">
        <v>2346</v>
      </c>
      <c r="F99" s="184" t="s">
        <v>378</v>
      </c>
      <c r="G99" s="186">
        <v>15</v>
      </c>
      <c r="L99" s="122"/>
    </row>
    <row r="100" spans="1:13" s="184" customFormat="1" x14ac:dyDescent="0.2">
      <c r="A100">
        <v>1877</v>
      </c>
      <c r="B100" s="189" t="s">
        <v>53</v>
      </c>
      <c r="C100" s="186">
        <v>24.11</v>
      </c>
      <c r="E100" s="186"/>
      <c r="G100" s="186"/>
      <c r="M100" s="186"/>
    </row>
    <row r="102" spans="1:13" x14ac:dyDescent="0.2">
      <c r="G102" s="159"/>
    </row>
    <row r="103" spans="1:13" x14ac:dyDescent="0.2">
      <c r="G103" s="159"/>
    </row>
    <row r="104" spans="1:13" x14ac:dyDescent="0.2">
      <c r="B104" s="202" t="s">
        <v>348</v>
      </c>
      <c r="G104" s="159"/>
    </row>
    <row r="105" spans="1:13" x14ac:dyDescent="0.2">
      <c r="B105" s="184" t="s">
        <v>78</v>
      </c>
      <c r="F105" s="184" t="s">
        <v>28</v>
      </c>
      <c r="G105" s="159"/>
    </row>
    <row r="106" spans="1:13" x14ac:dyDescent="0.2">
      <c r="B106" t="s">
        <v>5</v>
      </c>
      <c r="F106" s="184" t="s">
        <v>6</v>
      </c>
      <c r="G106" s="159"/>
    </row>
    <row r="107" spans="1:13" x14ac:dyDescent="0.2">
      <c r="B107" s="184" t="s">
        <v>27</v>
      </c>
      <c r="G107" s="159"/>
    </row>
    <row r="108" spans="1:13" x14ac:dyDescent="0.2">
      <c r="B108" s="184" t="s">
        <v>119</v>
      </c>
    </row>
    <row r="109" spans="1:13" x14ac:dyDescent="0.2">
      <c r="B109" s="184" t="s">
        <v>285</v>
      </c>
    </row>
    <row r="110" spans="1:13" x14ac:dyDescent="0.2">
      <c r="A110" s="184"/>
      <c r="B110" s="189" t="s">
        <v>371</v>
      </c>
    </row>
    <row r="111" spans="1:13" x14ac:dyDescent="0.2">
      <c r="B111" s="189" t="s">
        <v>174</v>
      </c>
    </row>
    <row r="112" spans="1:13" x14ac:dyDescent="0.2">
      <c r="A112" s="184"/>
      <c r="B112" s="189" t="s">
        <v>7</v>
      </c>
      <c r="C112" s="184"/>
    </row>
    <row r="113" spans="1:11" x14ac:dyDescent="0.2">
      <c r="A113" s="184"/>
      <c r="B113" s="189" t="s">
        <v>66</v>
      </c>
      <c r="C113" s="184"/>
    </row>
    <row r="114" spans="1:11" x14ac:dyDescent="0.2">
      <c r="A114" s="184"/>
      <c r="B114" s="189" t="s">
        <v>296</v>
      </c>
      <c r="C114" s="184"/>
    </row>
    <row r="115" spans="1:11" x14ac:dyDescent="0.2">
      <c r="A115" s="184"/>
      <c r="B115" s="189" t="s">
        <v>90</v>
      </c>
      <c r="C115" s="184"/>
    </row>
    <row r="116" spans="1:11" x14ac:dyDescent="0.2">
      <c r="B116" s="189" t="s">
        <v>73</v>
      </c>
    </row>
    <row r="117" spans="1:11" x14ac:dyDescent="0.2">
      <c r="B117" s="189" t="s">
        <v>274</v>
      </c>
    </row>
    <row r="119" spans="1:11" ht="23.25" x14ac:dyDescent="0.35">
      <c r="B119" s="111" t="s">
        <v>612</v>
      </c>
    </row>
    <row r="120" spans="1:11" x14ac:dyDescent="0.2">
      <c r="B120" t="s">
        <v>369</v>
      </c>
    </row>
    <row r="122" spans="1:11" x14ac:dyDescent="0.2">
      <c r="B122" s="160" t="s">
        <v>346</v>
      </c>
      <c r="C122" s="161" t="s">
        <v>372</v>
      </c>
      <c r="E122" s="124"/>
      <c r="F122" s="160" t="s">
        <v>347</v>
      </c>
      <c r="G122" s="161" t="s">
        <v>373</v>
      </c>
    </row>
    <row r="123" spans="1:11" x14ac:dyDescent="0.2">
      <c r="B123" s="184" t="s">
        <v>342</v>
      </c>
      <c r="C123" s="184">
        <v>12.59</v>
      </c>
      <c r="D123" s="184"/>
      <c r="E123" s="184">
        <v>2180</v>
      </c>
      <c r="F123" s="184" t="s">
        <v>90</v>
      </c>
      <c r="G123" s="184">
        <v>14.38</v>
      </c>
      <c r="H123" s="122"/>
    </row>
    <row r="124" spans="1:11" x14ac:dyDescent="0.2">
      <c r="B124" s="184" t="s">
        <v>174</v>
      </c>
      <c r="C124" s="186">
        <v>13.23</v>
      </c>
      <c r="D124" s="184"/>
      <c r="E124" s="184">
        <v>2346</v>
      </c>
      <c r="F124" s="184" t="s">
        <v>286</v>
      </c>
      <c r="G124" s="186">
        <v>15.25</v>
      </c>
      <c r="H124" s="122"/>
    </row>
    <row r="125" spans="1:11" x14ac:dyDescent="0.2">
      <c r="B125" s="184" t="s">
        <v>91</v>
      </c>
      <c r="C125" s="110">
        <v>14.04</v>
      </c>
      <c r="D125" s="184"/>
      <c r="E125" s="184">
        <v>1040</v>
      </c>
      <c r="F125" s="184" t="s">
        <v>285</v>
      </c>
      <c r="G125" s="184">
        <v>16.29</v>
      </c>
      <c r="H125" s="122"/>
      <c r="I125" s="184"/>
      <c r="J125" s="110"/>
      <c r="K125" s="110"/>
    </row>
    <row r="126" spans="1:11" x14ac:dyDescent="0.2">
      <c r="B126" s="189" t="s">
        <v>25</v>
      </c>
      <c r="C126" s="184">
        <v>14.41</v>
      </c>
      <c r="D126" s="184"/>
      <c r="E126" s="184">
        <v>2993</v>
      </c>
      <c r="F126" s="189" t="s">
        <v>6</v>
      </c>
      <c r="G126" s="186">
        <v>20.09</v>
      </c>
      <c r="H126" s="122"/>
      <c r="I126" s="184"/>
      <c r="J126" s="110"/>
      <c r="K126" s="110"/>
    </row>
    <row r="127" spans="1:11" x14ac:dyDescent="0.2">
      <c r="B127" s="184" t="s">
        <v>274</v>
      </c>
      <c r="C127" s="184">
        <v>13.29</v>
      </c>
      <c r="D127" s="184"/>
      <c r="E127" s="184">
        <v>1777</v>
      </c>
      <c r="F127" s="189" t="s">
        <v>119</v>
      </c>
      <c r="G127" s="184">
        <v>16.22</v>
      </c>
      <c r="H127" s="122"/>
      <c r="I127" s="184"/>
      <c r="J127" s="110"/>
      <c r="K127" s="110"/>
    </row>
    <row r="128" spans="1:11" x14ac:dyDescent="0.2">
      <c r="B128" s="189" t="s">
        <v>96</v>
      </c>
      <c r="C128" s="186">
        <v>13.45</v>
      </c>
      <c r="D128" s="184"/>
      <c r="E128" s="110"/>
      <c r="F128" s="110"/>
      <c r="G128" s="186"/>
      <c r="H128" s="184"/>
      <c r="I128" s="184"/>
      <c r="J128" s="184"/>
      <c r="K128" s="184"/>
    </row>
    <row r="129" spans="2:11" x14ac:dyDescent="0.2">
      <c r="B129" s="110"/>
      <c r="C129" s="184"/>
      <c r="D129" s="184"/>
      <c r="E129" s="184"/>
      <c r="F129" s="110"/>
      <c r="G129" s="186"/>
      <c r="H129" s="184"/>
      <c r="I129" s="184"/>
      <c r="J129" s="184"/>
      <c r="K129" s="184"/>
    </row>
    <row r="130" spans="2:11" x14ac:dyDescent="0.2">
      <c r="B130" s="184"/>
      <c r="C130" s="184"/>
      <c r="D130" s="184"/>
      <c r="E130" s="184"/>
      <c r="F130" s="184"/>
      <c r="G130" s="186"/>
      <c r="H130" s="184"/>
      <c r="I130" s="184"/>
      <c r="J130" s="184"/>
      <c r="K130" s="184"/>
    </row>
    <row r="131" spans="2:11" x14ac:dyDescent="0.2">
      <c r="B131" s="160" t="s">
        <v>370</v>
      </c>
      <c r="C131" s="161" t="s">
        <v>374</v>
      </c>
      <c r="E131" s="124"/>
      <c r="F131" s="160" t="s">
        <v>155</v>
      </c>
      <c r="G131" s="161" t="s">
        <v>350</v>
      </c>
      <c r="H131" s="184"/>
      <c r="I131" s="161"/>
      <c r="J131" s="160" t="s">
        <v>344</v>
      </c>
      <c r="K131" s="163" t="s">
        <v>302</v>
      </c>
    </row>
    <row r="132" spans="2:11" x14ac:dyDescent="0.2">
      <c r="B132" s="189" t="s">
        <v>280</v>
      </c>
      <c r="C132" s="110">
        <v>14.09</v>
      </c>
      <c r="D132" s="110"/>
      <c r="E132" s="110">
        <v>2131</v>
      </c>
      <c r="F132" s="184" t="s">
        <v>264</v>
      </c>
      <c r="G132" s="186">
        <v>12.2</v>
      </c>
      <c r="H132" s="122"/>
      <c r="I132" s="184">
        <v>2857</v>
      </c>
      <c r="J132" s="184" t="s">
        <v>98</v>
      </c>
      <c r="K132" s="186">
        <v>13.38</v>
      </c>
    </row>
    <row r="133" spans="2:11" x14ac:dyDescent="0.2">
      <c r="B133" s="184" t="s">
        <v>368</v>
      </c>
      <c r="C133" s="186">
        <v>15.13</v>
      </c>
      <c r="D133" s="110"/>
      <c r="E133" s="110">
        <v>1218</v>
      </c>
      <c r="F133" s="184" t="s">
        <v>4</v>
      </c>
      <c r="G133" s="186">
        <v>12.54</v>
      </c>
      <c r="H133" s="122"/>
      <c r="I133" s="184">
        <v>1618</v>
      </c>
      <c r="J133" s="184" t="s">
        <v>7</v>
      </c>
      <c r="K133" s="110">
        <v>14.58</v>
      </c>
    </row>
    <row r="134" spans="2:11" x14ac:dyDescent="0.2">
      <c r="B134" s="184" t="s">
        <v>371</v>
      </c>
      <c r="C134" s="186">
        <v>15.2</v>
      </c>
      <c r="D134" s="110"/>
      <c r="E134" s="110">
        <v>1197</v>
      </c>
      <c r="F134" s="189" t="s">
        <v>66</v>
      </c>
      <c r="G134" s="186">
        <v>12.07</v>
      </c>
      <c r="H134" s="122"/>
      <c r="I134" s="184">
        <v>2289</v>
      </c>
      <c r="J134" s="189" t="s">
        <v>28</v>
      </c>
      <c r="K134" s="186">
        <v>13.26</v>
      </c>
    </row>
    <row r="135" spans="2:11" x14ac:dyDescent="0.2">
      <c r="B135" s="110"/>
      <c r="C135" s="190"/>
      <c r="D135" s="122"/>
      <c r="E135" s="184"/>
      <c r="F135" s="110"/>
      <c r="G135" s="190"/>
      <c r="H135" s="122"/>
      <c r="I135" s="184"/>
      <c r="J135" s="110"/>
      <c r="K135" s="184"/>
    </row>
    <row r="136" spans="2:11" x14ac:dyDescent="0.2">
      <c r="B136" s="184"/>
      <c r="C136" s="186"/>
      <c r="D136" s="122"/>
      <c r="E136" s="184"/>
      <c r="F136" s="184"/>
      <c r="G136" s="186"/>
      <c r="H136" s="122"/>
      <c r="I136" s="184"/>
      <c r="J136" s="110"/>
      <c r="K136" s="184"/>
    </row>
    <row r="137" spans="2:11" x14ac:dyDescent="0.2">
      <c r="B137" s="162" t="s">
        <v>156</v>
      </c>
      <c r="C137" s="163" t="s">
        <v>375</v>
      </c>
      <c r="D137" s="184"/>
      <c r="E137" s="161"/>
      <c r="F137" s="162" t="s">
        <v>345</v>
      </c>
      <c r="G137" s="163" t="s">
        <v>350</v>
      </c>
      <c r="H137" s="184"/>
      <c r="I137" s="184"/>
      <c r="J137" s="110"/>
      <c r="K137" s="184"/>
    </row>
    <row r="138" spans="2:11" x14ac:dyDescent="0.2">
      <c r="B138" s="184" t="s">
        <v>118</v>
      </c>
      <c r="C138" s="186">
        <v>17.48</v>
      </c>
      <c r="D138" s="184"/>
      <c r="E138" s="184">
        <v>463</v>
      </c>
      <c r="F138" s="184" t="s">
        <v>101</v>
      </c>
      <c r="G138" s="186">
        <v>14.34</v>
      </c>
      <c r="H138" s="184"/>
      <c r="I138" s="184"/>
      <c r="J138" s="110"/>
      <c r="K138" s="184"/>
    </row>
    <row r="139" spans="2:11" x14ac:dyDescent="0.2">
      <c r="B139" s="184" t="s">
        <v>55</v>
      </c>
      <c r="C139" s="186">
        <v>15.55</v>
      </c>
      <c r="D139" s="184"/>
      <c r="E139" s="184">
        <v>2347</v>
      </c>
      <c r="F139" s="184" t="s">
        <v>356</v>
      </c>
      <c r="G139" s="186">
        <v>15.23</v>
      </c>
      <c r="H139" s="184"/>
      <c r="I139" s="184"/>
      <c r="J139" s="110"/>
      <c r="K139" s="186"/>
    </row>
    <row r="140" spans="2:11" x14ac:dyDescent="0.2">
      <c r="B140" s="184" t="s">
        <v>343</v>
      </c>
      <c r="C140" s="186">
        <v>19.45</v>
      </c>
      <c r="D140" s="122"/>
      <c r="E140" s="184">
        <v>1619</v>
      </c>
      <c r="F140" s="189" t="s">
        <v>261</v>
      </c>
      <c r="G140" s="186">
        <v>16.07</v>
      </c>
      <c r="H140" s="184"/>
      <c r="I140" s="184"/>
      <c r="J140" s="110"/>
    </row>
    <row r="141" spans="2:11" x14ac:dyDescent="0.2">
      <c r="B141" s="189" t="s">
        <v>53</v>
      </c>
      <c r="C141" s="186">
        <v>23.37</v>
      </c>
      <c r="D141" s="110"/>
      <c r="E141" s="125"/>
      <c r="F141" s="184"/>
      <c r="G141" s="186"/>
      <c r="H141" s="110"/>
      <c r="I141" s="110"/>
      <c r="J141" s="110"/>
      <c r="K141" s="110"/>
    </row>
    <row r="143" spans="2:11" x14ac:dyDescent="0.2">
      <c r="G143" s="159"/>
    </row>
    <row r="144" spans="2:11" x14ac:dyDescent="0.2">
      <c r="G144" s="159"/>
    </row>
    <row r="145" spans="2:7" x14ac:dyDescent="0.2">
      <c r="B145" s="202" t="s">
        <v>348</v>
      </c>
      <c r="G145" s="159"/>
    </row>
    <row r="146" spans="2:7" x14ac:dyDescent="0.2">
      <c r="B146" s="184" t="s">
        <v>78</v>
      </c>
      <c r="G146" s="159"/>
    </row>
    <row r="147" spans="2:7" x14ac:dyDescent="0.2">
      <c r="B147" s="184" t="s">
        <v>26</v>
      </c>
      <c r="G147" s="159"/>
    </row>
    <row r="148" spans="2:7" x14ac:dyDescent="0.2">
      <c r="B148" s="184" t="s">
        <v>93</v>
      </c>
      <c r="G148" s="159"/>
    </row>
    <row r="149" spans="2:7" x14ac:dyDescent="0.2">
      <c r="B149" s="184" t="s">
        <v>27</v>
      </c>
    </row>
    <row r="150" spans="2:7" x14ac:dyDescent="0.2">
      <c r="B150" s="189" t="s">
        <v>295</v>
      </c>
    </row>
    <row r="151" spans="2:7" x14ac:dyDescent="0.2">
      <c r="B151" s="189" t="s">
        <v>154</v>
      </c>
    </row>
    <row r="152" spans="2:7" x14ac:dyDescent="0.2">
      <c r="B152" s="189" t="s">
        <v>296</v>
      </c>
    </row>
    <row r="153" spans="2:7" x14ac:dyDescent="0.2">
      <c r="B153" s="189" t="s">
        <v>358</v>
      </c>
      <c r="C153" s="110"/>
    </row>
  </sheetData>
  <phoneticPr fontId="12" type="noConversion"/>
  <pageMargins left="0.75" right="0.75" top="1" bottom="1" header="0.5" footer="0.5"/>
  <pageSetup paperSize="9" orientation="landscape" horizont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BN163"/>
  <sheetViews>
    <sheetView zoomScale="80" zoomScaleNormal="80" workbookViewId="0">
      <pane xSplit="2" ySplit="5" topLeftCell="C17" activePane="bottomRight" state="frozen"/>
      <selection activeCell="A25" sqref="A25"/>
      <selection pane="topRight" activeCell="A25" sqref="A25"/>
      <selection pane="bottomLeft" activeCell="A25" sqref="A25"/>
      <selection pane="bottomRight" activeCell="D53" sqref="D53"/>
    </sheetView>
  </sheetViews>
  <sheetFormatPr defaultRowHeight="14.25" x14ac:dyDescent="0.2"/>
  <cols>
    <col min="1" max="1" width="13.5703125" style="7" customWidth="1"/>
    <col min="2" max="3" width="9.140625" style="7"/>
    <col min="4" max="4" width="13.140625" style="7" customWidth="1"/>
    <col min="5" max="6" width="9.140625" style="7"/>
    <col min="7" max="7" width="36.85546875" style="7" customWidth="1"/>
    <col min="8" max="8" width="13.42578125" style="7" customWidth="1"/>
    <col min="9" max="9" width="14.42578125" style="7" customWidth="1"/>
    <col min="10" max="10" width="25.28515625" style="7" customWidth="1"/>
    <col min="11" max="11" width="19.42578125" style="7" customWidth="1"/>
    <col min="12" max="14" width="9.140625" style="7"/>
    <col min="15" max="15" width="17.85546875" style="7" customWidth="1"/>
    <col min="16" max="16" width="12.7109375" style="7" customWidth="1"/>
    <col min="17" max="20" width="9.140625" style="7"/>
    <col min="21" max="21" width="0" style="7" hidden="1" customWidth="1"/>
    <col min="22" max="23" width="13.140625" style="7" hidden="1" customWidth="1"/>
    <col min="24" max="24" width="17.7109375" style="6" hidden="1" customWidth="1"/>
    <col min="25" max="25" width="37.85546875" style="7" hidden="1" customWidth="1"/>
    <col min="26" max="26" width="16" style="7" hidden="1" customWidth="1"/>
    <col min="27" max="27" width="15" style="7" hidden="1" customWidth="1"/>
    <col min="28" max="28" width="17" style="7" hidden="1" customWidth="1"/>
    <col min="29" max="38" width="0" style="7" hidden="1" customWidth="1"/>
    <col min="39" max="39" width="25.42578125" style="7" hidden="1" customWidth="1"/>
    <col min="40" max="40" width="17.140625" style="137" hidden="1" customWidth="1"/>
    <col min="41" max="41" width="14.28515625" style="137" hidden="1" customWidth="1"/>
    <col min="42" max="42" width="10.28515625" style="137" hidden="1" customWidth="1"/>
    <col min="43" max="43" width="8.140625" style="137" hidden="1" customWidth="1"/>
    <col min="44" max="45" width="10.28515625" style="137" hidden="1" customWidth="1"/>
    <col min="46" max="46" width="12.5703125" style="138" hidden="1" customWidth="1"/>
    <col min="47" max="47" width="12.28515625" style="139" hidden="1" customWidth="1"/>
    <col min="48" max="48" width="9.85546875" style="139" hidden="1" customWidth="1"/>
    <col min="49" max="49" width="11" style="139" hidden="1" customWidth="1"/>
    <col min="50" max="50" width="11.5703125" style="30" hidden="1" customWidth="1"/>
    <col min="51" max="51" width="10.42578125" style="139" hidden="1" customWidth="1"/>
    <col min="52" max="52" width="11" style="139" hidden="1" customWidth="1"/>
    <col min="53" max="53" width="10.7109375" style="138" hidden="1" customWidth="1"/>
    <col min="54" max="54" width="10.42578125" style="139" hidden="1" customWidth="1"/>
    <col min="55" max="55" width="9.140625" style="139" hidden="1" customWidth="1"/>
    <col min="56" max="56" width="21.85546875" style="7" hidden="1" customWidth="1"/>
    <col min="57" max="57" width="9.140625" style="6" hidden="1" customWidth="1"/>
    <col min="58" max="58" width="9.140625" style="7" hidden="1" customWidth="1"/>
    <col min="59" max="59" width="9.5703125" style="199" hidden="1" customWidth="1"/>
    <col min="60" max="60" width="10.28515625" style="7" hidden="1" customWidth="1"/>
    <col min="61" max="61" width="10" style="7" hidden="1" customWidth="1"/>
    <col min="62" max="62" width="12" style="7" hidden="1" customWidth="1"/>
    <col min="63" max="63" width="12.42578125" style="7" hidden="1" customWidth="1"/>
    <col min="64" max="64" width="11.28515625" style="7" hidden="1" customWidth="1"/>
    <col min="65" max="16384" width="9.140625" style="7"/>
  </cols>
  <sheetData>
    <row r="1" spans="1:66" ht="30" x14ac:dyDescent="0.4">
      <c r="A1" s="273" t="s">
        <v>701</v>
      </c>
      <c r="U1" s="273" t="s">
        <v>562</v>
      </c>
      <c r="V1" s="199"/>
      <c r="W1" s="199"/>
      <c r="X1" s="286"/>
      <c r="Y1" s="199"/>
      <c r="Z1" s="199"/>
      <c r="AA1" s="199"/>
      <c r="AB1" s="199"/>
      <c r="AC1" s="199"/>
      <c r="AM1" s="1" t="s">
        <v>353</v>
      </c>
      <c r="AN1" s="126"/>
      <c r="AO1" s="126"/>
      <c r="AP1" s="126"/>
      <c r="AQ1" s="126"/>
      <c r="AR1" s="126"/>
      <c r="AS1" s="126"/>
      <c r="BD1" s="1"/>
      <c r="BJ1" s="273" t="s">
        <v>478</v>
      </c>
    </row>
    <row r="2" spans="1:66" ht="17.25" customHeight="1" x14ac:dyDescent="0.5">
      <c r="U2" s="199"/>
      <c r="V2" s="199"/>
      <c r="W2" s="199"/>
      <c r="X2" s="286"/>
      <c r="Y2" s="199"/>
      <c r="Z2" s="199"/>
      <c r="AA2" s="199"/>
      <c r="AB2" s="199"/>
      <c r="AC2" s="199"/>
      <c r="AM2" s="8"/>
      <c r="AN2" s="127"/>
      <c r="AO2" s="127"/>
      <c r="AP2" s="127"/>
      <c r="AQ2" s="127"/>
      <c r="AR2" s="127"/>
      <c r="AS2" s="127"/>
      <c r="BD2" s="8"/>
    </row>
    <row r="3" spans="1:66" s="17" customFormat="1" ht="18" x14ac:dyDescent="0.2">
      <c r="U3" s="282"/>
      <c r="V3" s="282"/>
      <c r="W3" s="282"/>
      <c r="X3" s="287"/>
      <c r="Y3" s="282"/>
      <c r="Z3" s="282"/>
      <c r="AA3" s="282"/>
      <c r="AB3" s="282"/>
      <c r="AC3" s="282"/>
      <c r="AM3" s="112"/>
      <c r="AN3" s="9"/>
      <c r="AO3" s="9"/>
      <c r="AP3" s="9"/>
      <c r="AQ3" s="9"/>
      <c r="AR3" s="9"/>
      <c r="AS3" s="164" t="s">
        <v>158</v>
      </c>
      <c r="AT3" s="140" t="s">
        <v>29</v>
      </c>
      <c r="AU3" s="140" t="s">
        <v>38</v>
      </c>
      <c r="AV3" s="141" t="s">
        <v>82</v>
      </c>
      <c r="AW3" s="140" t="s">
        <v>105</v>
      </c>
      <c r="AX3" s="140" t="s">
        <v>40</v>
      </c>
      <c r="AY3" s="140" t="s">
        <v>39</v>
      </c>
      <c r="AZ3" s="142" t="s">
        <v>314</v>
      </c>
      <c r="BA3" s="140" t="s">
        <v>315</v>
      </c>
      <c r="BB3" s="143" t="s">
        <v>41</v>
      </c>
      <c r="BC3" s="143" t="s">
        <v>42</v>
      </c>
      <c r="BD3" s="9"/>
      <c r="BE3" s="16"/>
      <c r="BF3" s="7"/>
      <c r="BG3" s="199"/>
      <c r="BH3" s="7"/>
      <c r="BI3" s="7"/>
      <c r="BJ3" s="7"/>
      <c r="BK3" s="7"/>
      <c r="BL3" s="7"/>
      <c r="BN3" s="7"/>
    </row>
    <row r="4" spans="1:66" s="98" customFormat="1" ht="15" x14ac:dyDescent="0.2">
      <c r="U4" s="283"/>
      <c r="V4" s="283"/>
      <c r="W4" s="283"/>
      <c r="X4" s="288"/>
      <c r="Y4" s="283"/>
      <c r="Z4" s="283"/>
      <c r="AA4" s="283"/>
      <c r="AB4" s="283"/>
      <c r="AC4" s="283"/>
      <c r="AM4" s="113"/>
      <c r="AN4" s="128"/>
      <c r="AO4" s="128"/>
      <c r="AP4" s="128"/>
      <c r="AQ4" s="128"/>
      <c r="AR4" s="128" t="s">
        <v>137</v>
      </c>
      <c r="AS4" s="197">
        <v>41372</v>
      </c>
      <c r="AT4" s="144">
        <v>41020</v>
      </c>
      <c r="AU4" s="144">
        <v>41405</v>
      </c>
      <c r="AV4" s="144">
        <v>41419</v>
      </c>
      <c r="AW4" s="144">
        <v>41433</v>
      </c>
      <c r="AX4" s="144">
        <v>41447</v>
      </c>
      <c r="AY4" s="144">
        <v>41103</v>
      </c>
      <c r="AZ4" s="144">
        <v>41483</v>
      </c>
      <c r="BA4" s="144">
        <v>41496</v>
      </c>
      <c r="BB4" s="144">
        <v>41525</v>
      </c>
      <c r="BC4" s="144">
        <v>41538</v>
      </c>
      <c r="BD4" s="96"/>
      <c r="BE4" s="97"/>
      <c r="BF4" s="95"/>
      <c r="BG4" s="199"/>
      <c r="BH4" s="95"/>
      <c r="BI4" s="95"/>
      <c r="BK4" s="95"/>
      <c r="BL4" s="95"/>
      <c r="BN4" s="95"/>
    </row>
    <row r="5" spans="1:66" x14ac:dyDescent="0.2">
      <c r="A5" t="s">
        <v>702</v>
      </c>
      <c r="B5" t="s">
        <v>703</v>
      </c>
      <c r="C5" t="s">
        <v>704</v>
      </c>
      <c r="D5" t="s">
        <v>705</v>
      </c>
      <c r="E5" t="s">
        <v>706</v>
      </c>
      <c r="F5" t="s">
        <v>707</v>
      </c>
      <c r="G5" t="s">
        <v>708</v>
      </c>
      <c r="H5" t="s">
        <v>709</v>
      </c>
      <c r="I5" t="s">
        <v>140</v>
      </c>
      <c r="J5" t="s">
        <v>710</v>
      </c>
      <c r="K5" t="s">
        <v>711</v>
      </c>
      <c r="L5" t="s">
        <v>712</v>
      </c>
      <c r="M5" t="s">
        <v>713</v>
      </c>
      <c r="N5" t="s">
        <v>714</v>
      </c>
      <c r="O5" t="s">
        <v>715</v>
      </c>
      <c r="P5" t="s">
        <v>716</v>
      </c>
      <c r="Q5" t="s">
        <v>871</v>
      </c>
      <c r="R5" s="184" t="s">
        <v>854</v>
      </c>
      <c r="S5" s="7" t="s">
        <v>510</v>
      </c>
      <c r="U5" s="284" t="s">
        <v>504</v>
      </c>
      <c r="V5" s="284" t="s">
        <v>505</v>
      </c>
      <c r="W5" s="284" t="s">
        <v>506</v>
      </c>
      <c r="X5" s="289"/>
      <c r="Y5" s="284" t="s">
        <v>508</v>
      </c>
      <c r="Z5" s="284" t="s">
        <v>507</v>
      </c>
      <c r="AA5" s="284" t="s">
        <v>139</v>
      </c>
      <c r="AB5" s="284" t="s">
        <v>509</v>
      </c>
      <c r="AC5" s="284" t="s">
        <v>510</v>
      </c>
      <c r="AD5" s="7">
        <v>2017</v>
      </c>
      <c r="AM5" s="114"/>
      <c r="AN5" s="129" t="s">
        <v>140</v>
      </c>
      <c r="AO5" s="129" t="s">
        <v>139</v>
      </c>
      <c r="AP5" s="129" t="s">
        <v>157</v>
      </c>
      <c r="AQ5" s="129" t="s">
        <v>134</v>
      </c>
      <c r="AR5" s="129" t="s">
        <v>138</v>
      </c>
      <c r="AS5" s="129" t="s">
        <v>85</v>
      </c>
      <c r="AT5" s="139" t="s">
        <v>89</v>
      </c>
      <c r="AU5" s="139" t="s">
        <v>277</v>
      </c>
      <c r="AV5" s="139" t="s">
        <v>30</v>
      </c>
      <c r="AW5" s="139" t="s">
        <v>32</v>
      </c>
      <c r="AX5" s="139" t="s">
        <v>34</v>
      </c>
      <c r="AY5" s="139" t="s">
        <v>107</v>
      </c>
      <c r="AZ5" s="139" t="s">
        <v>31</v>
      </c>
      <c r="BA5" s="139" t="s">
        <v>35</v>
      </c>
      <c r="BB5" s="139" t="s">
        <v>36</v>
      </c>
      <c r="BC5" s="139" t="s">
        <v>37</v>
      </c>
      <c r="BD5" s="36" t="s">
        <v>46</v>
      </c>
      <c r="BG5" s="199" t="s">
        <v>312</v>
      </c>
    </row>
    <row r="6" spans="1:66" ht="15" x14ac:dyDescent="0.2">
      <c r="A6" t="s">
        <v>437</v>
      </c>
      <c r="B6" t="s">
        <v>511</v>
      </c>
      <c r="C6" t="s">
        <v>717</v>
      </c>
      <c r="D6" s="338">
        <v>24155</v>
      </c>
      <c r="E6">
        <v>51</v>
      </c>
      <c r="F6">
        <v>1838</v>
      </c>
      <c r="G6" t="s">
        <v>512</v>
      </c>
      <c r="H6" t="s">
        <v>718</v>
      </c>
      <c r="I6" t="str">
        <f>"0418 591 438"</f>
        <v>0418 591 438</v>
      </c>
      <c r="J6" t="s">
        <v>719</v>
      </c>
      <c r="K6" t="s">
        <v>720</v>
      </c>
      <c r="L6" t="s">
        <v>721</v>
      </c>
      <c r="M6">
        <v>3130</v>
      </c>
      <c r="N6" t="s">
        <v>513</v>
      </c>
      <c r="O6" t="s">
        <v>722</v>
      </c>
      <c r="P6" t="str">
        <f>"0418 232 404"</f>
        <v>0418 232 404</v>
      </c>
      <c r="Q6" t="s">
        <v>872</v>
      </c>
      <c r="R6" s="184" t="s">
        <v>855</v>
      </c>
      <c r="S6" s="339" t="s">
        <v>514</v>
      </c>
      <c r="U6" s="284">
        <v>2569</v>
      </c>
      <c r="V6" s="284" t="s">
        <v>437</v>
      </c>
      <c r="W6" s="284" t="s">
        <v>511</v>
      </c>
      <c r="X6" s="290" t="s">
        <v>197</v>
      </c>
      <c r="Y6" s="284" t="s">
        <v>512</v>
      </c>
      <c r="Z6" s="285">
        <v>41018</v>
      </c>
      <c r="AA6" s="285">
        <v>24155</v>
      </c>
      <c r="AB6" s="284" t="s">
        <v>513</v>
      </c>
      <c r="AC6" s="284" t="s">
        <v>514</v>
      </c>
      <c r="AD6" s="7" t="s">
        <v>672</v>
      </c>
      <c r="AE6" s="7" t="s">
        <v>681</v>
      </c>
      <c r="AM6" s="166" t="s">
        <v>46</v>
      </c>
      <c r="AN6" s="130"/>
      <c r="AO6" s="130"/>
      <c r="AP6" s="130"/>
      <c r="AQ6" s="155"/>
      <c r="AR6" s="155"/>
      <c r="AS6" s="155"/>
      <c r="AT6" s="155"/>
      <c r="AU6" s="155"/>
      <c r="AV6" s="154"/>
      <c r="AW6" s="154"/>
      <c r="AX6" s="154"/>
      <c r="AY6" s="154"/>
      <c r="AZ6" s="154"/>
      <c r="BA6" s="154"/>
      <c r="BB6" s="154"/>
      <c r="BC6" s="154"/>
      <c r="BD6" s="94" t="str">
        <f>AM6</f>
        <v>Male Open</v>
      </c>
      <c r="BF6" s="7">
        <v>1</v>
      </c>
      <c r="BG6" s="199" t="s">
        <v>4</v>
      </c>
      <c r="BJ6" t="s">
        <v>437</v>
      </c>
      <c r="BK6" s="184" t="s">
        <v>473</v>
      </c>
      <c r="BL6">
        <v>1451</v>
      </c>
    </row>
    <row r="7" spans="1:66" ht="15" x14ac:dyDescent="0.2">
      <c r="A7" t="s">
        <v>437</v>
      </c>
      <c r="B7" t="s">
        <v>473</v>
      </c>
      <c r="C7" t="s">
        <v>723</v>
      </c>
      <c r="D7" s="338">
        <v>33252</v>
      </c>
      <c r="E7">
        <v>26</v>
      </c>
      <c r="F7">
        <v>1478</v>
      </c>
      <c r="G7" t="s">
        <v>515</v>
      </c>
      <c r="H7"/>
      <c r="I7" t="str">
        <f>"0431 154 208"</f>
        <v>0431 154 208</v>
      </c>
      <c r="J7" t="s">
        <v>724</v>
      </c>
      <c r="K7" t="s">
        <v>725</v>
      </c>
      <c r="L7" t="s">
        <v>721</v>
      </c>
      <c r="M7">
        <v>3071</v>
      </c>
      <c r="N7" t="s">
        <v>513</v>
      </c>
      <c r="O7" t="s">
        <v>726</v>
      </c>
      <c r="P7" t="str">
        <f>"0411084805"</f>
        <v>0411084805</v>
      </c>
      <c r="Q7" t="s">
        <v>873</v>
      </c>
      <c r="R7" s="184" t="s">
        <v>856</v>
      </c>
      <c r="S7" s="339" t="s">
        <v>517</v>
      </c>
      <c r="U7" s="284">
        <v>1451</v>
      </c>
      <c r="V7" s="284" t="s">
        <v>437</v>
      </c>
      <c r="W7" s="284" t="s">
        <v>473</v>
      </c>
      <c r="X7" s="290" t="s">
        <v>177</v>
      </c>
      <c r="Y7" s="284" t="s">
        <v>515</v>
      </c>
      <c r="Z7" s="285">
        <v>41769</v>
      </c>
      <c r="AA7" s="285">
        <v>33252</v>
      </c>
      <c r="AB7" s="284" t="s">
        <v>516</v>
      </c>
      <c r="AC7" s="284" t="s">
        <v>517</v>
      </c>
      <c r="AD7" s="7" t="s">
        <v>672</v>
      </c>
      <c r="AM7" s="220" t="s">
        <v>94</v>
      </c>
      <c r="AN7" s="130" t="s">
        <v>159</v>
      </c>
      <c r="AO7" s="130" t="s">
        <v>209</v>
      </c>
      <c r="AP7" s="130"/>
      <c r="AQ7" s="155"/>
      <c r="AR7" s="155"/>
      <c r="AS7" s="155"/>
      <c r="AT7" s="155"/>
      <c r="AU7" s="155"/>
      <c r="AV7" s="154"/>
      <c r="AW7" s="154"/>
      <c r="AX7" s="154"/>
      <c r="AY7" s="154"/>
      <c r="AZ7" s="154"/>
      <c r="BA7" s="154"/>
      <c r="BB7" s="154"/>
      <c r="BC7" s="154"/>
      <c r="BD7" s="94" t="str">
        <f t="shared" ref="BD7:BD58" si="0">AM7</f>
        <v>Andrew Coles</v>
      </c>
      <c r="BF7" s="7">
        <v>3</v>
      </c>
      <c r="BG7" s="199" t="s">
        <v>53</v>
      </c>
      <c r="BJ7" t="s">
        <v>423</v>
      </c>
      <c r="BK7" t="s">
        <v>424</v>
      </c>
      <c r="BL7">
        <v>497</v>
      </c>
      <c r="BN7"/>
    </row>
    <row r="8" spans="1:66" ht="15" x14ac:dyDescent="0.2">
      <c r="A8" t="s">
        <v>423</v>
      </c>
      <c r="B8" t="s">
        <v>727</v>
      </c>
      <c r="C8" t="s">
        <v>717</v>
      </c>
      <c r="D8" s="338">
        <v>37360</v>
      </c>
      <c r="E8">
        <v>15</v>
      </c>
      <c r="F8">
        <v>2156</v>
      </c>
      <c r="G8" t="s">
        <v>728</v>
      </c>
      <c r="H8"/>
      <c r="I8" t="str">
        <f>"0478502201"</f>
        <v>0478502201</v>
      </c>
      <c r="J8" t="s">
        <v>729</v>
      </c>
      <c r="K8" t="s">
        <v>730</v>
      </c>
      <c r="L8" t="s">
        <v>721</v>
      </c>
      <c r="M8">
        <v>3191</v>
      </c>
      <c r="N8" t="s">
        <v>516</v>
      </c>
      <c r="O8" t="s">
        <v>4</v>
      </c>
      <c r="P8" t="str">
        <f>"0467762602"</f>
        <v>0467762602</v>
      </c>
      <c r="Q8" t="s">
        <v>872</v>
      </c>
      <c r="R8" s="184" t="s">
        <v>857</v>
      </c>
      <c r="S8" s="306" t="s">
        <v>37</v>
      </c>
      <c r="U8" s="284">
        <v>497</v>
      </c>
      <c r="V8" s="284" t="s">
        <v>423</v>
      </c>
      <c r="W8" s="284" t="s">
        <v>424</v>
      </c>
      <c r="X8" s="290" t="s">
        <v>550</v>
      </c>
      <c r="Y8" s="284" t="s">
        <v>518</v>
      </c>
      <c r="Z8" s="285">
        <v>41018</v>
      </c>
      <c r="AA8" s="285">
        <v>24124</v>
      </c>
      <c r="AB8" s="284" t="s">
        <v>513</v>
      </c>
      <c r="AC8" s="284" t="s">
        <v>514</v>
      </c>
      <c r="AD8" s="7" t="s">
        <v>672</v>
      </c>
      <c r="AE8" s="7" t="s">
        <v>150</v>
      </c>
      <c r="AM8" s="220" t="s">
        <v>64</v>
      </c>
      <c r="AN8" s="130" t="s">
        <v>246</v>
      </c>
      <c r="AO8" s="130" t="s">
        <v>247</v>
      </c>
      <c r="AP8" s="130" t="s">
        <v>149</v>
      </c>
      <c r="AQ8" s="155"/>
      <c r="AR8" s="155"/>
      <c r="AS8" s="155"/>
      <c r="AT8" s="155"/>
      <c r="AU8" s="155"/>
      <c r="AV8" s="154"/>
      <c r="AW8" s="154"/>
      <c r="AX8" s="154"/>
      <c r="AY8" s="154"/>
      <c r="AZ8" s="154"/>
      <c r="BA8" s="154"/>
      <c r="BB8" s="154"/>
      <c r="BC8" s="154"/>
      <c r="BD8" s="94" t="str">
        <f>AM8</f>
        <v>Steven Williams</v>
      </c>
      <c r="BF8" s="7">
        <v>10</v>
      </c>
      <c r="BG8" s="199" t="s">
        <v>313</v>
      </c>
      <c r="BJ8" t="s">
        <v>438</v>
      </c>
      <c r="BK8" s="184" t="s">
        <v>474</v>
      </c>
      <c r="BL8">
        <v>1452</v>
      </c>
    </row>
    <row r="9" spans="1:66" ht="15" x14ac:dyDescent="0.2">
      <c r="A9" t="s">
        <v>423</v>
      </c>
      <c r="B9" t="s">
        <v>424</v>
      </c>
      <c r="C9" t="s">
        <v>723</v>
      </c>
      <c r="D9" s="338">
        <v>24124</v>
      </c>
      <c r="E9">
        <v>51</v>
      </c>
      <c r="F9">
        <v>503</v>
      </c>
      <c r="G9" t="s">
        <v>518</v>
      </c>
      <c r="H9" t="s">
        <v>731</v>
      </c>
      <c r="I9" t="str">
        <f>"0467 762 602"</f>
        <v>0467 762 602</v>
      </c>
      <c r="J9" t="s">
        <v>732</v>
      </c>
      <c r="K9" t="s">
        <v>733</v>
      </c>
      <c r="L9" t="s">
        <v>721</v>
      </c>
      <c r="M9">
        <v>3191</v>
      </c>
      <c r="N9" t="s">
        <v>513</v>
      </c>
      <c r="O9" t="s">
        <v>734</v>
      </c>
      <c r="P9" t="str">
        <f>"0466 486 253"</f>
        <v>0466 486 253</v>
      </c>
      <c r="Q9" t="s">
        <v>874</v>
      </c>
      <c r="R9" s="184" t="s">
        <v>858</v>
      </c>
      <c r="S9" s="339" t="s">
        <v>514</v>
      </c>
      <c r="U9" s="284">
        <v>1134</v>
      </c>
      <c r="V9" s="284" t="s">
        <v>425</v>
      </c>
      <c r="W9" s="284" t="s">
        <v>426</v>
      </c>
      <c r="X9" s="290" t="s">
        <v>551</v>
      </c>
      <c r="Y9" s="284" t="s">
        <v>519</v>
      </c>
      <c r="Z9" s="284"/>
      <c r="AA9" s="285">
        <v>28651</v>
      </c>
      <c r="AB9" s="284" t="s">
        <v>516</v>
      </c>
      <c r="AC9" s="284" t="s">
        <v>517</v>
      </c>
      <c r="AD9" s="7" t="s">
        <v>672</v>
      </c>
      <c r="AM9" s="220" t="s">
        <v>66</v>
      </c>
      <c r="AN9" s="153" t="s">
        <v>335</v>
      </c>
      <c r="AO9" s="130" t="s">
        <v>234</v>
      </c>
      <c r="AP9" s="130" t="s">
        <v>70</v>
      </c>
      <c r="AQ9" s="155"/>
      <c r="AR9" s="155"/>
      <c r="AS9" s="155"/>
      <c r="AT9" s="155"/>
      <c r="AU9" s="155"/>
      <c r="AV9" s="154"/>
      <c r="AW9" s="154"/>
      <c r="AX9" s="154"/>
      <c r="AY9" s="154"/>
      <c r="AZ9" s="154"/>
      <c r="BA9" s="154"/>
      <c r="BB9" s="154"/>
      <c r="BC9" s="154"/>
      <c r="BD9" s="94" t="str">
        <f>AM9</f>
        <v>Stephen Paine</v>
      </c>
      <c r="BF9" s="7">
        <v>2</v>
      </c>
      <c r="BG9" s="199" t="s">
        <v>27</v>
      </c>
      <c r="BJ9" t="s">
        <v>425</v>
      </c>
      <c r="BK9" t="s">
        <v>426</v>
      </c>
      <c r="BL9">
        <v>1134</v>
      </c>
    </row>
    <row r="10" spans="1:66" ht="15" x14ac:dyDescent="0.2">
      <c r="A10" t="s">
        <v>438</v>
      </c>
      <c r="B10" t="s">
        <v>474</v>
      </c>
      <c r="C10" t="s">
        <v>723</v>
      </c>
      <c r="D10" t="str">
        <f>"02/07/1978"</f>
        <v>02/07/1978</v>
      </c>
      <c r="E10">
        <v>39</v>
      </c>
      <c r="F10">
        <v>2111</v>
      </c>
      <c r="G10" t="s">
        <v>735</v>
      </c>
      <c r="H10"/>
      <c r="I10" t="str">
        <f>"0403 738 247"</f>
        <v>0403 738 247</v>
      </c>
      <c r="J10" t="s">
        <v>736</v>
      </c>
      <c r="K10" t="s">
        <v>737</v>
      </c>
      <c r="L10" t="s">
        <v>721</v>
      </c>
      <c r="M10">
        <v>3145</v>
      </c>
      <c r="N10" t="s">
        <v>516</v>
      </c>
      <c r="O10" t="s">
        <v>738</v>
      </c>
      <c r="P10" t="str">
        <f>"0403 472 057"</f>
        <v>0403 472 057</v>
      </c>
      <c r="Q10" t="s">
        <v>874</v>
      </c>
      <c r="R10" s="184" t="s">
        <v>856</v>
      </c>
      <c r="S10" s="339" t="s">
        <v>37</v>
      </c>
      <c r="U10" s="284">
        <v>1466</v>
      </c>
      <c r="V10" s="284" t="s">
        <v>462</v>
      </c>
      <c r="W10" s="284" t="s">
        <v>461</v>
      </c>
      <c r="X10" s="290" t="s">
        <v>180</v>
      </c>
      <c r="Y10" s="284" t="s">
        <v>520</v>
      </c>
      <c r="Z10" s="284"/>
      <c r="AA10" s="285">
        <v>30239</v>
      </c>
      <c r="AB10" s="284" t="s">
        <v>516</v>
      </c>
      <c r="AC10" s="284" t="s">
        <v>517</v>
      </c>
      <c r="AM10" s="220" t="s">
        <v>283</v>
      </c>
      <c r="AN10" s="153" t="s">
        <v>336</v>
      </c>
      <c r="AO10" s="130" t="s">
        <v>325</v>
      </c>
      <c r="AP10" s="130"/>
      <c r="AQ10" s="155"/>
      <c r="AR10" s="155"/>
      <c r="AS10" s="155"/>
      <c r="AT10" s="155"/>
      <c r="AU10" s="155"/>
      <c r="AV10" s="154"/>
      <c r="AW10" s="154"/>
      <c r="AX10" s="154"/>
      <c r="AY10" s="154"/>
      <c r="AZ10" s="154"/>
      <c r="BA10" s="154"/>
      <c r="BB10" s="154"/>
      <c r="BC10" s="154"/>
      <c r="BD10" s="94" t="str">
        <f t="shared" si="0"/>
        <v>Paul Marsh</v>
      </c>
      <c r="BF10" s="7">
        <v>4</v>
      </c>
      <c r="BG10" s="199" t="s">
        <v>118</v>
      </c>
      <c r="BJ10" t="s">
        <v>439</v>
      </c>
      <c r="BK10" t="s">
        <v>440</v>
      </c>
      <c r="BL10">
        <v>1453</v>
      </c>
    </row>
    <row r="11" spans="1:66" s="100" customFormat="1" ht="15" x14ac:dyDescent="0.2">
      <c r="A11" t="s">
        <v>875</v>
      </c>
      <c r="B11" t="s">
        <v>521</v>
      </c>
      <c r="C11" t="s">
        <v>723</v>
      </c>
      <c r="D11" t="str">
        <f>"04/12/1975"</f>
        <v>04/12/1975</v>
      </c>
      <c r="E11">
        <v>42</v>
      </c>
      <c r="F11">
        <v>2594</v>
      </c>
      <c r="G11" t="s">
        <v>876</v>
      </c>
      <c r="H11"/>
      <c r="I11" t="str">
        <f>"0419518080"</f>
        <v>0419518080</v>
      </c>
      <c r="J11" t="s">
        <v>877</v>
      </c>
      <c r="K11" t="s">
        <v>878</v>
      </c>
      <c r="L11" t="s">
        <v>797</v>
      </c>
      <c r="M11">
        <v>3204</v>
      </c>
      <c r="N11" t="s">
        <v>516</v>
      </c>
      <c r="O11" t="s">
        <v>879</v>
      </c>
      <c r="P11" t="str">
        <f>"0402319176"</f>
        <v>0402319176</v>
      </c>
      <c r="Q11" t="s">
        <v>880</v>
      </c>
      <c r="R11" s="184" t="s">
        <v>856</v>
      </c>
      <c r="S11" s="95" t="s">
        <v>514</v>
      </c>
      <c r="U11" s="284">
        <v>2490</v>
      </c>
      <c r="V11" s="284" t="s">
        <v>462</v>
      </c>
      <c r="W11" s="284" t="s">
        <v>521</v>
      </c>
      <c r="X11" s="290" t="s">
        <v>560</v>
      </c>
      <c r="Y11" s="284" t="s">
        <v>522</v>
      </c>
      <c r="Z11" s="285">
        <v>41018</v>
      </c>
      <c r="AA11" s="285">
        <v>32443</v>
      </c>
      <c r="AB11" s="284" t="s">
        <v>513</v>
      </c>
      <c r="AC11" s="284"/>
      <c r="AM11" s="221" t="s">
        <v>77</v>
      </c>
      <c r="AN11" s="133" t="s">
        <v>183</v>
      </c>
      <c r="AO11" s="133" t="s">
        <v>145</v>
      </c>
      <c r="AP11" s="133"/>
      <c r="AQ11" s="155"/>
      <c r="AR11" s="155"/>
      <c r="AS11" s="155"/>
      <c r="AT11" s="155"/>
      <c r="AU11" s="155"/>
      <c r="AV11" s="165"/>
      <c r="AW11" s="165"/>
      <c r="AX11" s="165"/>
      <c r="AY11" s="165"/>
      <c r="AZ11" s="165"/>
      <c r="BA11" s="165"/>
      <c r="BB11" s="165"/>
      <c r="BC11" s="165"/>
      <c r="BD11" s="94" t="str">
        <f t="shared" si="0"/>
        <v>Rick Whitehead</v>
      </c>
      <c r="BE11" s="99"/>
      <c r="BF11" s="7">
        <v>5</v>
      </c>
      <c r="BG11" s="199" t="s">
        <v>5</v>
      </c>
      <c r="BJ11" t="s">
        <v>441</v>
      </c>
      <c r="BK11" t="s">
        <v>426</v>
      </c>
      <c r="BL11">
        <v>1454</v>
      </c>
    </row>
    <row r="12" spans="1:66" ht="15" x14ac:dyDescent="0.2">
      <c r="A12" t="s">
        <v>881</v>
      </c>
      <c r="B12" t="s">
        <v>882</v>
      </c>
      <c r="C12" t="s">
        <v>723</v>
      </c>
      <c r="D12" s="338">
        <v>36089</v>
      </c>
      <c r="E12">
        <v>19</v>
      </c>
      <c r="F12">
        <v>2688</v>
      </c>
      <c r="G12" t="s">
        <v>883</v>
      </c>
      <c r="H12" t="str">
        <f>"0477222871"</f>
        <v>0477222871</v>
      </c>
      <c r="I12" t="str">
        <f>"0477222871"</f>
        <v>0477222871</v>
      </c>
      <c r="J12" t="s">
        <v>884</v>
      </c>
      <c r="K12" t="s">
        <v>885</v>
      </c>
      <c r="L12" t="s">
        <v>886</v>
      </c>
      <c r="M12">
        <v>3150</v>
      </c>
      <c r="N12" t="s">
        <v>516</v>
      </c>
      <c r="O12" t="s">
        <v>887</v>
      </c>
      <c r="P12" t="str">
        <f>"0458317001"</f>
        <v>0458317001</v>
      </c>
      <c r="Q12" t="s">
        <v>888</v>
      </c>
      <c r="R12" s="184" t="s">
        <v>861</v>
      </c>
      <c r="S12" s="306" t="s">
        <v>37</v>
      </c>
      <c r="U12" s="284">
        <v>2556</v>
      </c>
      <c r="V12" s="284" t="s">
        <v>523</v>
      </c>
      <c r="W12" s="284" t="s">
        <v>524</v>
      </c>
      <c r="X12" s="290" t="s">
        <v>552</v>
      </c>
      <c r="Y12" s="284" t="s">
        <v>525</v>
      </c>
      <c r="Z12" s="285">
        <v>41018</v>
      </c>
      <c r="AA12" s="285">
        <v>27184</v>
      </c>
      <c r="AB12" s="284" t="s">
        <v>516</v>
      </c>
      <c r="AC12" s="284" t="s">
        <v>517</v>
      </c>
      <c r="AD12" s="7" t="s">
        <v>673</v>
      </c>
      <c r="AM12" s="220" t="s">
        <v>174</v>
      </c>
      <c r="AN12" s="130" t="s">
        <v>272</v>
      </c>
      <c r="AO12" s="130" t="s">
        <v>320</v>
      </c>
      <c r="AP12" s="130" t="s">
        <v>70</v>
      </c>
      <c r="AQ12" s="155"/>
      <c r="AR12" s="155"/>
      <c r="AS12" s="155"/>
      <c r="AT12" s="155"/>
      <c r="AU12" s="155"/>
      <c r="AV12" s="154"/>
      <c r="AW12" s="154"/>
      <c r="AX12" s="154"/>
      <c r="AY12" s="154"/>
      <c r="AZ12" s="154"/>
      <c r="BA12" s="154"/>
      <c r="BB12" s="154"/>
      <c r="BC12" s="154"/>
      <c r="BD12" s="94" t="str">
        <f t="shared" si="0"/>
        <v>Ewen Vowels</v>
      </c>
      <c r="BF12" s="7">
        <v>6</v>
      </c>
      <c r="BG12" s="199" t="s">
        <v>66</v>
      </c>
      <c r="BJ12" t="s">
        <v>442</v>
      </c>
      <c r="BK12" t="s">
        <v>443</v>
      </c>
      <c r="BL12">
        <v>1455</v>
      </c>
    </row>
    <row r="13" spans="1:66" ht="15" x14ac:dyDescent="0.2">
      <c r="A13" t="s">
        <v>425</v>
      </c>
      <c r="B13" t="s">
        <v>426</v>
      </c>
      <c r="C13" t="s">
        <v>723</v>
      </c>
      <c r="D13" s="338">
        <v>28651</v>
      </c>
      <c r="E13">
        <v>39</v>
      </c>
      <c r="F13">
        <v>1756</v>
      </c>
      <c r="G13" t="s">
        <v>519</v>
      </c>
      <c r="H13" t="str">
        <f>"0421498212"</f>
        <v>0421498212</v>
      </c>
      <c r="I13" t="str">
        <f>"0421498212"</f>
        <v>0421498212</v>
      </c>
      <c r="J13" t="s">
        <v>739</v>
      </c>
      <c r="K13" t="s">
        <v>740</v>
      </c>
      <c r="L13" t="s">
        <v>721</v>
      </c>
      <c r="M13">
        <v>3158</v>
      </c>
      <c r="N13" t="s">
        <v>516</v>
      </c>
      <c r="O13" t="s">
        <v>741</v>
      </c>
      <c r="P13" t="str">
        <f>"0421498212"</f>
        <v>0421498212</v>
      </c>
      <c r="Q13" t="s">
        <v>874</v>
      </c>
      <c r="R13" s="184" t="s">
        <v>856</v>
      </c>
      <c r="S13" s="339" t="s">
        <v>517</v>
      </c>
      <c r="U13" s="284">
        <v>1453</v>
      </c>
      <c r="V13" s="284" t="s">
        <v>439</v>
      </c>
      <c r="W13" s="284" t="s">
        <v>440</v>
      </c>
      <c r="X13" s="290" t="s">
        <v>164</v>
      </c>
      <c r="Y13" s="284" t="s">
        <v>526</v>
      </c>
      <c r="Z13" s="285">
        <v>41018</v>
      </c>
      <c r="AA13" s="285">
        <v>23122</v>
      </c>
      <c r="AB13" s="284" t="s">
        <v>516</v>
      </c>
      <c r="AC13" s="284" t="s">
        <v>517</v>
      </c>
      <c r="AD13" s="7" t="s">
        <v>672</v>
      </c>
      <c r="AE13" s="325" t="s">
        <v>150</v>
      </c>
      <c r="AM13" s="220" t="s">
        <v>4</v>
      </c>
      <c r="AN13" s="153" t="s">
        <v>141</v>
      </c>
      <c r="AO13" s="130" t="s">
        <v>160</v>
      </c>
      <c r="AP13" s="130" t="s">
        <v>150</v>
      </c>
      <c r="AQ13" s="155"/>
      <c r="AR13" s="155"/>
      <c r="AS13" s="155"/>
      <c r="AT13" s="155"/>
      <c r="AU13" s="155"/>
      <c r="AV13" s="154"/>
      <c r="AW13" s="154"/>
      <c r="AX13" s="154"/>
      <c r="AY13" s="154"/>
      <c r="AZ13" s="154"/>
      <c r="BA13" s="154"/>
      <c r="BB13" s="154"/>
      <c r="BC13" s="154"/>
      <c r="BD13" s="94" t="str">
        <f t="shared" si="0"/>
        <v>James Atkinson</v>
      </c>
      <c r="BF13" s="7">
        <v>7</v>
      </c>
      <c r="BG13" s="199" t="s">
        <v>285</v>
      </c>
      <c r="BJ13" t="s">
        <v>444</v>
      </c>
      <c r="BK13" t="s">
        <v>445</v>
      </c>
      <c r="BL13">
        <v>1456</v>
      </c>
    </row>
    <row r="14" spans="1:66" ht="15" x14ac:dyDescent="0.2">
      <c r="A14" t="s">
        <v>462</v>
      </c>
      <c r="B14" t="s">
        <v>889</v>
      </c>
      <c r="C14" t="s">
        <v>723</v>
      </c>
      <c r="D14" s="338">
        <v>16670</v>
      </c>
      <c r="E14">
        <v>72</v>
      </c>
      <c r="F14"/>
      <c r="G14" t="s">
        <v>890</v>
      </c>
      <c r="H14" t="s">
        <v>891</v>
      </c>
      <c r="I14" t="str">
        <f>"0413 158 596"</f>
        <v>0413 158 596</v>
      </c>
      <c r="J14" t="s">
        <v>892</v>
      </c>
      <c r="K14" t="s">
        <v>893</v>
      </c>
      <c r="L14" t="s">
        <v>721</v>
      </c>
      <c r="M14">
        <v>3150</v>
      </c>
      <c r="N14" t="s">
        <v>894</v>
      </c>
      <c r="O14" t="s">
        <v>895</v>
      </c>
      <c r="P14" t="str">
        <f>"0425873461"</f>
        <v>0425873461</v>
      </c>
      <c r="Q14"/>
      <c r="R14" s="184"/>
      <c r="U14" s="284">
        <v>1454</v>
      </c>
      <c r="V14" s="284" t="s">
        <v>441</v>
      </c>
      <c r="W14" s="284" t="s">
        <v>426</v>
      </c>
      <c r="X14" s="290" t="s">
        <v>267</v>
      </c>
      <c r="Y14" s="284" t="s">
        <v>527</v>
      </c>
      <c r="Z14" s="285">
        <v>41018</v>
      </c>
      <c r="AA14" s="285">
        <v>23037</v>
      </c>
      <c r="AB14" s="284" t="s">
        <v>516</v>
      </c>
      <c r="AC14" s="284" t="s">
        <v>517</v>
      </c>
      <c r="AD14" s="7" t="s">
        <v>673</v>
      </c>
      <c r="AM14" s="220" t="s">
        <v>93</v>
      </c>
      <c r="AN14" s="130" t="s">
        <v>271</v>
      </c>
      <c r="AO14" s="130" t="s">
        <v>245</v>
      </c>
      <c r="AP14" s="130"/>
      <c r="AQ14" s="155"/>
      <c r="AR14" s="155"/>
      <c r="AS14" s="155"/>
      <c r="AT14" s="155"/>
      <c r="AU14" s="155"/>
      <c r="AV14" s="154"/>
      <c r="AW14" s="154"/>
      <c r="AX14" s="154"/>
      <c r="AY14" s="154"/>
      <c r="AZ14" s="154"/>
      <c r="BA14" s="154"/>
      <c r="BB14" s="154"/>
      <c r="BC14" s="154"/>
      <c r="BD14" s="94" t="str">
        <f t="shared" si="0"/>
        <v>David Venour</v>
      </c>
      <c r="BF14" s="7">
        <v>8</v>
      </c>
      <c r="BG14" s="199" t="s">
        <v>295</v>
      </c>
      <c r="BJ14" t="s">
        <v>446</v>
      </c>
      <c r="BK14" t="s">
        <v>447</v>
      </c>
      <c r="BL14">
        <v>1457</v>
      </c>
    </row>
    <row r="15" spans="1:66" ht="15" x14ac:dyDescent="0.2">
      <c r="A15" t="s">
        <v>462</v>
      </c>
      <c r="B15" t="s">
        <v>680</v>
      </c>
      <c r="C15" t="s">
        <v>723</v>
      </c>
      <c r="D15" s="338">
        <v>31315</v>
      </c>
      <c r="E15">
        <v>32</v>
      </c>
      <c r="F15">
        <v>2546</v>
      </c>
      <c r="G15" t="s">
        <v>896</v>
      </c>
      <c r="H15"/>
      <c r="I15" t="str">
        <f>"0421 688 544"</f>
        <v>0421 688 544</v>
      </c>
      <c r="J15" t="s">
        <v>897</v>
      </c>
      <c r="K15" t="s">
        <v>898</v>
      </c>
      <c r="L15" t="s">
        <v>721</v>
      </c>
      <c r="M15">
        <v>3184</v>
      </c>
      <c r="N15" t="s">
        <v>513</v>
      </c>
      <c r="O15" t="s">
        <v>899</v>
      </c>
      <c r="P15" t="str">
        <f>"0413 158 546"</f>
        <v>0413 158 546</v>
      </c>
      <c r="Q15" t="s">
        <v>872</v>
      </c>
      <c r="R15" s="184" t="s">
        <v>856</v>
      </c>
      <c r="U15" s="284">
        <v>1455</v>
      </c>
      <c r="V15" s="284" t="s">
        <v>442</v>
      </c>
      <c r="W15" s="284" t="s">
        <v>443</v>
      </c>
      <c r="X15" s="290" t="s">
        <v>339</v>
      </c>
      <c r="Y15" s="284" t="s">
        <v>528</v>
      </c>
      <c r="Z15" s="285">
        <v>41389</v>
      </c>
      <c r="AA15" s="285">
        <v>32697</v>
      </c>
      <c r="AB15" s="284" t="s">
        <v>516</v>
      </c>
      <c r="AC15" s="284" t="s">
        <v>517</v>
      </c>
      <c r="AD15" s="7" t="s">
        <v>672</v>
      </c>
      <c r="AM15" s="220" t="s">
        <v>96</v>
      </c>
      <c r="AN15" s="130" t="s">
        <v>330</v>
      </c>
      <c r="AO15" s="130" t="s">
        <v>327</v>
      </c>
      <c r="AP15" s="130" t="s">
        <v>150</v>
      </c>
      <c r="AQ15" s="155"/>
      <c r="AR15" s="155"/>
      <c r="AS15" s="155"/>
      <c r="AT15" s="155"/>
      <c r="AU15" s="155"/>
      <c r="AV15" s="154"/>
      <c r="AW15" s="154"/>
      <c r="AX15" s="154"/>
      <c r="AY15" s="154"/>
      <c r="AZ15" s="154"/>
      <c r="BA15" s="154"/>
      <c r="BB15" s="154"/>
      <c r="BC15" s="154"/>
      <c r="BD15" s="94" t="str">
        <f t="shared" si="0"/>
        <v>Shane Fielding</v>
      </c>
      <c r="BF15" s="7">
        <v>9</v>
      </c>
      <c r="BG15" s="199" t="s">
        <v>296</v>
      </c>
      <c r="BJ15" t="s">
        <v>448</v>
      </c>
      <c r="BK15" t="s">
        <v>450</v>
      </c>
      <c r="BL15">
        <v>1459</v>
      </c>
    </row>
    <row r="16" spans="1:66" ht="15" x14ac:dyDescent="0.2">
      <c r="A16" t="s">
        <v>462</v>
      </c>
      <c r="B16" t="s">
        <v>461</v>
      </c>
      <c r="C16" t="s">
        <v>723</v>
      </c>
      <c r="D16" s="338">
        <v>30239</v>
      </c>
      <c r="E16">
        <v>35</v>
      </c>
      <c r="F16">
        <v>1797</v>
      </c>
      <c r="G16" t="s">
        <v>520</v>
      </c>
      <c r="H16"/>
      <c r="I16" t="str">
        <f>"0421 279 927"</f>
        <v>0421 279 927</v>
      </c>
      <c r="J16" t="s">
        <v>742</v>
      </c>
      <c r="K16" t="s">
        <v>743</v>
      </c>
      <c r="L16" t="s">
        <v>721</v>
      </c>
      <c r="M16">
        <v>3753</v>
      </c>
      <c r="N16" t="s">
        <v>516</v>
      </c>
      <c r="O16" t="s">
        <v>744</v>
      </c>
      <c r="P16" t="str">
        <f>"0404884304"</f>
        <v>0404884304</v>
      </c>
      <c r="Q16" t="s">
        <v>874</v>
      </c>
      <c r="R16" s="184"/>
      <c r="S16" s="339" t="s">
        <v>517</v>
      </c>
      <c r="U16" s="284">
        <v>1456</v>
      </c>
      <c r="V16" s="284" t="s">
        <v>444</v>
      </c>
      <c r="W16" s="284" t="s">
        <v>445</v>
      </c>
      <c r="X16" s="290" t="s">
        <v>553</v>
      </c>
      <c r="Y16" s="284" t="s">
        <v>529</v>
      </c>
      <c r="Z16" s="285">
        <v>41018</v>
      </c>
      <c r="AA16" s="285">
        <v>24148</v>
      </c>
      <c r="AB16" s="284" t="s">
        <v>516</v>
      </c>
      <c r="AC16" s="284" t="s">
        <v>514</v>
      </c>
      <c r="AM16" s="228" t="s">
        <v>274</v>
      </c>
      <c r="AN16" s="130" t="s">
        <v>275</v>
      </c>
      <c r="AO16" s="130"/>
      <c r="AP16" s="130"/>
      <c r="AQ16" s="155"/>
      <c r="AR16" s="155"/>
      <c r="AS16" s="155"/>
      <c r="AT16" s="155"/>
      <c r="AU16" s="155"/>
      <c r="AV16" s="154"/>
      <c r="AW16" s="154"/>
      <c r="AX16" s="154"/>
      <c r="AY16" s="154"/>
      <c r="AZ16" s="154"/>
      <c r="BA16" s="154"/>
      <c r="BB16" s="154"/>
      <c r="BC16" s="154"/>
      <c r="BD16" s="94" t="str">
        <f>AM16</f>
        <v>Matt Zonneveldt</v>
      </c>
      <c r="BJ16" t="s">
        <v>448</v>
      </c>
      <c r="BK16" t="s">
        <v>449</v>
      </c>
      <c r="BL16">
        <v>1458</v>
      </c>
    </row>
    <row r="17" spans="1:64" ht="15" x14ac:dyDescent="0.2">
      <c r="A17" t="s">
        <v>462</v>
      </c>
      <c r="B17" t="s">
        <v>521</v>
      </c>
      <c r="C17" t="s">
        <v>723</v>
      </c>
      <c r="D17" s="338">
        <v>32443</v>
      </c>
      <c r="E17">
        <v>29</v>
      </c>
      <c r="F17">
        <v>2406</v>
      </c>
      <c r="G17" t="s">
        <v>522</v>
      </c>
      <c r="H17" t="str">
        <f>"03 9803 6367"</f>
        <v>03 9803 6367</v>
      </c>
      <c r="I17" t="str">
        <f>"0401 749 912"</f>
        <v>0401 749 912</v>
      </c>
      <c r="J17" t="s">
        <v>892</v>
      </c>
      <c r="K17" t="s">
        <v>893</v>
      </c>
      <c r="L17" t="s">
        <v>721</v>
      </c>
      <c r="M17">
        <v>3150</v>
      </c>
      <c r="N17" t="s">
        <v>513</v>
      </c>
      <c r="O17" t="s">
        <v>899</v>
      </c>
      <c r="P17" t="str">
        <f>"0413 158 596"</f>
        <v>0413 158 596</v>
      </c>
      <c r="Q17" t="s">
        <v>900</v>
      </c>
      <c r="R17" s="184"/>
      <c r="U17" s="284">
        <v>1457</v>
      </c>
      <c r="V17" s="284" t="s">
        <v>446</v>
      </c>
      <c r="W17" s="284" t="s">
        <v>447</v>
      </c>
      <c r="X17" s="290" t="s">
        <v>557</v>
      </c>
      <c r="Y17" s="284" t="s">
        <v>530</v>
      </c>
      <c r="Z17" s="285">
        <v>41018</v>
      </c>
      <c r="AA17" s="285">
        <v>22057</v>
      </c>
      <c r="AB17" s="284" t="s">
        <v>516</v>
      </c>
      <c r="AC17" s="284" t="s">
        <v>517</v>
      </c>
      <c r="AE17" s="325" t="s">
        <v>150</v>
      </c>
      <c r="AM17" s="94" t="s">
        <v>91</v>
      </c>
      <c r="AN17" s="130" t="s">
        <v>177</v>
      </c>
      <c r="AO17" s="130" t="s">
        <v>205</v>
      </c>
      <c r="AP17" s="130"/>
      <c r="AQ17" s="155"/>
      <c r="AR17" s="155"/>
      <c r="AS17" s="155"/>
      <c r="AT17" s="155"/>
      <c r="AU17" s="155"/>
      <c r="AV17" s="154"/>
      <c r="AW17" s="154"/>
      <c r="AX17" s="154"/>
      <c r="AY17" s="154"/>
      <c r="AZ17" s="154"/>
      <c r="BA17" s="154"/>
      <c r="BB17" s="154"/>
      <c r="BC17" s="154"/>
      <c r="BD17" s="94" t="str">
        <f>AM17</f>
        <v>Tim Albiston</v>
      </c>
      <c r="BJ17" t="s">
        <v>451</v>
      </c>
      <c r="BK17" t="s">
        <v>452</v>
      </c>
      <c r="BL17">
        <v>1460</v>
      </c>
    </row>
    <row r="18" spans="1:64" ht="15" x14ac:dyDescent="0.2">
      <c r="A18" t="s">
        <v>745</v>
      </c>
      <c r="B18" t="s">
        <v>746</v>
      </c>
      <c r="C18" t="s">
        <v>723</v>
      </c>
      <c r="D18" s="346">
        <v>27179</v>
      </c>
      <c r="E18">
        <v>43</v>
      </c>
      <c r="F18">
        <v>2076</v>
      </c>
      <c r="G18" t="s">
        <v>747</v>
      </c>
      <c r="H18" t="s">
        <v>748</v>
      </c>
      <c r="I18" t="str">
        <f>"0419 365 371"</f>
        <v>0419 365 371</v>
      </c>
      <c r="J18" t="s">
        <v>749</v>
      </c>
      <c r="K18" t="s">
        <v>750</v>
      </c>
      <c r="L18" t="s">
        <v>721</v>
      </c>
      <c r="M18">
        <v>3070</v>
      </c>
      <c r="N18" t="s">
        <v>516</v>
      </c>
      <c r="O18" t="s">
        <v>751</v>
      </c>
      <c r="P18" t="s">
        <v>748</v>
      </c>
      <c r="Q18"/>
      <c r="R18" s="184" t="s">
        <v>859</v>
      </c>
      <c r="S18" s="306" t="s">
        <v>37</v>
      </c>
      <c r="U18" s="284">
        <v>1459</v>
      </c>
      <c r="V18" s="284" t="s">
        <v>448</v>
      </c>
      <c r="W18" s="284" t="s">
        <v>450</v>
      </c>
      <c r="X18" s="291" t="s">
        <v>338</v>
      </c>
      <c r="Y18" s="284" t="s">
        <v>531</v>
      </c>
      <c r="Z18" s="285">
        <v>41117</v>
      </c>
      <c r="AA18" s="285">
        <v>35904</v>
      </c>
      <c r="AB18" s="284" t="s">
        <v>516</v>
      </c>
      <c r="AC18" s="284" t="s">
        <v>514</v>
      </c>
      <c r="AM18" s="220" t="s">
        <v>74</v>
      </c>
      <c r="AN18" s="130" t="s">
        <v>162</v>
      </c>
      <c r="AO18" s="130" t="s">
        <v>326</v>
      </c>
      <c r="AP18" s="130" t="s">
        <v>70</v>
      </c>
      <c r="AQ18" s="155"/>
      <c r="AR18" s="155"/>
      <c r="AS18" s="155"/>
      <c r="AT18" s="155"/>
      <c r="AU18" s="155"/>
      <c r="AV18" s="154"/>
      <c r="AW18" s="154"/>
      <c r="AX18" s="154"/>
      <c r="AY18" s="154"/>
      <c r="AZ18" s="154"/>
      <c r="BA18" s="154"/>
      <c r="BB18" s="154"/>
      <c r="BC18" s="154"/>
      <c r="BD18" s="94" t="str">
        <f t="shared" si="0"/>
        <v>Rohan Claffey</v>
      </c>
      <c r="BF18" s="7">
        <v>11</v>
      </c>
      <c r="BJ18" t="s">
        <v>429</v>
      </c>
      <c r="BK18" t="s">
        <v>430</v>
      </c>
      <c r="BL18">
        <v>1175</v>
      </c>
    </row>
    <row r="19" spans="1:64" ht="15" x14ac:dyDescent="0.2">
      <c r="A19" t="s">
        <v>752</v>
      </c>
      <c r="B19" t="s">
        <v>753</v>
      </c>
      <c r="C19" t="s">
        <v>723</v>
      </c>
      <c r="D19" s="346">
        <v>21836</v>
      </c>
      <c r="E19">
        <v>58</v>
      </c>
      <c r="F19">
        <v>2216</v>
      </c>
      <c r="G19" t="s">
        <v>754</v>
      </c>
      <c r="H19" t="s">
        <v>755</v>
      </c>
      <c r="I19" t="str">
        <f>"0423 905 111"</f>
        <v>0423 905 111</v>
      </c>
      <c r="J19" t="s">
        <v>756</v>
      </c>
      <c r="K19" t="s">
        <v>757</v>
      </c>
      <c r="L19" t="s">
        <v>721</v>
      </c>
      <c r="M19">
        <v>3765</v>
      </c>
      <c r="N19" t="s">
        <v>516</v>
      </c>
      <c r="O19" t="s">
        <v>378</v>
      </c>
      <c r="P19" t="str">
        <f>"0401 549 901"</f>
        <v>0401 549 901</v>
      </c>
      <c r="Q19" t="s">
        <v>901</v>
      </c>
      <c r="R19" s="184" t="s">
        <v>858</v>
      </c>
      <c r="S19" s="306" t="s">
        <v>37</v>
      </c>
      <c r="U19" s="284">
        <v>1458</v>
      </c>
      <c r="V19" s="284" t="s">
        <v>448</v>
      </c>
      <c r="W19" s="284" t="s">
        <v>449</v>
      </c>
      <c r="X19" s="292" t="s">
        <v>334</v>
      </c>
      <c r="Y19" s="284" t="s">
        <v>532</v>
      </c>
      <c r="Z19" s="285">
        <v>41389</v>
      </c>
      <c r="AA19" s="285">
        <v>23517</v>
      </c>
      <c r="AB19" s="284" t="s">
        <v>516</v>
      </c>
      <c r="AC19" s="284" t="s">
        <v>517</v>
      </c>
      <c r="AE19" s="325" t="s">
        <v>150</v>
      </c>
      <c r="AM19" s="220" t="s">
        <v>26</v>
      </c>
      <c r="AN19" s="130" t="s">
        <v>163</v>
      </c>
      <c r="AO19" s="130" t="s">
        <v>243</v>
      </c>
      <c r="AP19" s="130" t="s">
        <v>70</v>
      </c>
      <c r="AQ19" s="155"/>
      <c r="AR19" s="155"/>
      <c r="AS19" s="155"/>
      <c r="AT19" s="155"/>
      <c r="AU19" s="155"/>
      <c r="AV19" s="154"/>
      <c r="AW19" s="154"/>
      <c r="AX19" s="154"/>
      <c r="AY19" s="154"/>
      <c r="AZ19" s="154"/>
      <c r="BA19" s="154"/>
      <c r="BB19" s="154"/>
      <c r="BC19" s="154"/>
      <c r="BD19" s="94" t="str">
        <f t="shared" si="0"/>
        <v>Martin Spiteri</v>
      </c>
      <c r="BF19" s="7">
        <v>12</v>
      </c>
      <c r="BJ19" t="s">
        <v>435</v>
      </c>
      <c r="BK19" t="s">
        <v>436</v>
      </c>
      <c r="BL19">
        <v>1331</v>
      </c>
    </row>
    <row r="20" spans="1:64" ht="15" x14ac:dyDescent="0.2">
      <c r="A20" t="s">
        <v>970</v>
      </c>
      <c r="B20" t="s">
        <v>971</v>
      </c>
      <c r="C20" t="s">
        <v>723</v>
      </c>
      <c r="D20" s="346">
        <v>36922</v>
      </c>
      <c r="E20">
        <v>16</v>
      </c>
      <c r="F20">
        <v>2753</v>
      </c>
      <c r="G20" t="s">
        <v>972</v>
      </c>
      <c r="H20" t="str">
        <f>"0388029656"</f>
        <v>0388029656</v>
      </c>
      <c r="I20" t="str">
        <f>"0425121295"</f>
        <v>0425121295</v>
      </c>
      <c r="J20" t="s">
        <v>973</v>
      </c>
      <c r="K20" t="s">
        <v>930</v>
      </c>
      <c r="L20" t="s">
        <v>797</v>
      </c>
      <c r="M20">
        <v>3150</v>
      </c>
      <c r="N20" t="s">
        <v>516</v>
      </c>
      <c r="O20" t="s">
        <v>974</v>
      </c>
      <c r="P20" t="str">
        <f>"0430401212"</f>
        <v>0430401212</v>
      </c>
      <c r="Q20" t="s">
        <v>975</v>
      </c>
      <c r="R20" s="184" t="s">
        <v>865</v>
      </c>
      <c r="S20" s="306" t="s">
        <v>37</v>
      </c>
      <c r="U20" s="284"/>
      <c r="V20" s="284"/>
      <c r="W20" s="284"/>
      <c r="X20" s="292"/>
      <c r="Y20" s="284"/>
      <c r="Z20" s="285"/>
      <c r="AA20" s="285"/>
      <c r="AB20" s="284"/>
      <c r="AC20" s="284"/>
      <c r="AE20" s="325"/>
      <c r="AM20" s="220"/>
      <c r="AN20" s="130"/>
      <c r="AO20" s="130"/>
      <c r="AP20" s="130"/>
      <c r="AQ20" s="155"/>
      <c r="AR20" s="155"/>
      <c r="AS20" s="155"/>
      <c r="AT20" s="155"/>
      <c r="AU20" s="155"/>
      <c r="AV20" s="154"/>
      <c r="AW20" s="154"/>
      <c r="AX20" s="154"/>
      <c r="AY20" s="154"/>
      <c r="AZ20" s="154"/>
      <c r="BA20" s="154"/>
      <c r="BB20" s="154"/>
      <c r="BC20" s="154"/>
      <c r="BD20" s="94"/>
      <c r="BJ20"/>
      <c r="BK20"/>
      <c r="BL20"/>
    </row>
    <row r="21" spans="1:64" ht="15" x14ac:dyDescent="0.2">
      <c r="A21" t="s">
        <v>674</v>
      </c>
      <c r="B21" t="s">
        <v>521</v>
      </c>
      <c r="C21" t="s">
        <v>723</v>
      </c>
      <c r="D21" s="347" t="str">
        <f>"03/05/1966"</f>
        <v>03/05/1966</v>
      </c>
      <c r="E21">
        <v>51</v>
      </c>
      <c r="F21">
        <v>1205</v>
      </c>
      <c r="G21" t="s">
        <v>758</v>
      </c>
      <c r="H21" t="str">
        <f>"03 8786 9707"</f>
        <v>03 8786 9707</v>
      </c>
      <c r="I21" t="str">
        <f>"0400 684 423"</f>
        <v>0400 684 423</v>
      </c>
      <c r="J21" t="s">
        <v>759</v>
      </c>
      <c r="K21" t="s">
        <v>760</v>
      </c>
      <c r="L21" t="s">
        <v>721</v>
      </c>
      <c r="M21">
        <v>3806</v>
      </c>
      <c r="N21" t="s">
        <v>516</v>
      </c>
      <c r="O21" t="s">
        <v>761</v>
      </c>
      <c r="P21" t="str">
        <f>"0408 070 466"</f>
        <v>0408 070 466</v>
      </c>
      <c r="Q21" t="s">
        <v>874</v>
      </c>
      <c r="R21" s="184" t="s">
        <v>858</v>
      </c>
      <c r="S21" s="339" t="s">
        <v>517</v>
      </c>
      <c r="U21" s="284">
        <v>1175</v>
      </c>
      <c r="V21" s="284" t="s">
        <v>429</v>
      </c>
      <c r="W21" s="284" t="s">
        <v>430</v>
      </c>
      <c r="X21" s="290" t="s">
        <v>171</v>
      </c>
      <c r="Y21" s="284" t="s">
        <v>533</v>
      </c>
      <c r="Z21" s="285">
        <v>41018</v>
      </c>
      <c r="AA21" s="285">
        <v>23645</v>
      </c>
      <c r="AB21" s="284" t="s">
        <v>516</v>
      </c>
      <c r="AC21" s="284"/>
      <c r="AD21" s="7" t="s">
        <v>672</v>
      </c>
      <c r="AE21" s="325" t="s">
        <v>150</v>
      </c>
      <c r="AM21" s="220" t="s">
        <v>28</v>
      </c>
      <c r="AN21" s="130" t="s">
        <v>164</v>
      </c>
      <c r="AO21" s="130" t="s">
        <v>210</v>
      </c>
      <c r="AP21" s="130" t="s">
        <v>150</v>
      </c>
      <c r="AQ21" s="155"/>
      <c r="AR21" s="155"/>
      <c r="AS21" s="155"/>
      <c r="AT21" s="155"/>
      <c r="AU21" s="155"/>
      <c r="AV21" s="154"/>
      <c r="AW21" s="154"/>
      <c r="AX21" s="154"/>
      <c r="AY21" s="154"/>
      <c r="AZ21" s="154"/>
      <c r="BA21" s="154"/>
      <c r="BB21" s="154"/>
      <c r="BC21" s="154"/>
      <c r="BD21" s="94" t="str">
        <f t="shared" si="0"/>
        <v>Tony George</v>
      </c>
      <c r="BJ21" t="s">
        <v>453</v>
      </c>
      <c r="BK21" t="s">
        <v>454</v>
      </c>
      <c r="BL21">
        <v>1461</v>
      </c>
    </row>
    <row r="22" spans="1:64" ht="15" x14ac:dyDescent="0.2">
      <c r="A22" t="s">
        <v>439</v>
      </c>
      <c r="B22" t="s">
        <v>440</v>
      </c>
      <c r="C22" t="s">
        <v>723</v>
      </c>
      <c r="D22" s="346">
        <v>23122</v>
      </c>
      <c r="E22">
        <v>54</v>
      </c>
      <c r="F22">
        <v>2604</v>
      </c>
      <c r="G22" t="s">
        <v>526</v>
      </c>
      <c r="H22" t="s">
        <v>902</v>
      </c>
      <c r="I22" t="str">
        <f>"0438 061 846"</f>
        <v>0438 061 846</v>
      </c>
      <c r="J22" t="s">
        <v>903</v>
      </c>
      <c r="K22" t="s">
        <v>904</v>
      </c>
      <c r="L22" t="s">
        <v>721</v>
      </c>
      <c r="M22">
        <v>3802</v>
      </c>
      <c r="N22" t="s">
        <v>516</v>
      </c>
      <c r="O22" t="s">
        <v>905</v>
      </c>
      <c r="P22" t="str">
        <f>"0411 546 452"</f>
        <v>0411 546 452</v>
      </c>
      <c r="Q22" t="s">
        <v>901</v>
      </c>
      <c r="R22" s="184" t="s">
        <v>858</v>
      </c>
      <c r="S22" s="339" t="s">
        <v>517</v>
      </c>
      <c r="U22" s="284">
        <v>1331</v>
      </c>
      <c r="V22" s="284" t="s">
        <v>435</v>
      </c>
      <c r="W22" s="284" t="s">
        <v>436</v>
      </c>
      <c r="X22" s="290" t="s">
        <v>191</v>
      </c>
      <c r="Y22" s="284" t="s">
        <v>534</v>
      </c>
      <c r="Z22" s="285">
        <v>41018</v>
      </c>
      <c r="AA22" s="285">
        <v>24064</v>
      </c>
      <c r="AB22" s="284" t="s">
        <v>516</v>
      </c>
      <c r="AC22" s="284" t="s">
        <v>517</v>
      </c>
      <c r="AD22" s="7" t="s">
        <v>672</v>
      </c>
      <c r="AE22" s="323" t="s">
        <v>681</v>
      </c>
      <c r="AM22" s="220" t="s">
        <v>342</v>
      </c>
      <c r="AN22" s="130"/>
      <c r="AO22" s="130" t="s">
        <v>381</v>
      </c>
      <c r="AP22" s="130"/>
      <c r="AQ22" s="155"/>
      <c r="AR22" s="155"/>
      <c r="AS22" s="155"/>
      <c r="AT22" s="155"/>
      <c r="AU22" s="155"/>
      <c r="AV22" s="154"/>
      <c r="AW22" s="154"/>
      <c r="AX22" s="154"/>
      <c r="AY22" s="154"/>
      <c r="AZ22" s="154"/>
      <c r="BA22" s="154"/>
      <c r="BB22" s="154"/>
      <c r="BC22" s="154"/>
      <c r="BD22" s="94" t="str">
        <f t="shared" si="0"/>
        <v>Glenn Carroll</v>
      </c>
      <c r="BJ22" t="s">
        <v>455</v>
      </c>
      <c r="BK22" t="s">
        <v>456</v>
      </c>
      <c r="BL22">
        <v>1462</v>
      </c>
    </row>
    <row r="23" spans="1:64" ht="15" x14ac:dyDescent="0.2">
      <c r="A23" t="s">
        <v>906</v>
      </c>
      <c r="B23" t="s">
        <v>907</v>
      </c>
      <c r="C23" t="s">
        <v>717</v>
      </c>
      <c r="D23" s="347" t="str">
        <f>"02/03/1936"</f>
        <v>02/03/1936</v>
      </c>
      <c r="E23">
        <v>81</v>
      </c>
      <c r="F23"/>
      <c r="G23" t="s">
        <v>908</v>
      </c>
      <c r="H23" t="s">
        <v>909</v>
      </c>
      <c r="I23" t="str">
        <f>"0421 336 564"</f>
        <v>0421 336 564</v>
      </c>
      <c r="J23" t="s">
        <v>910</v>
      </c>
      <c r="K23" t="s">
        <v>911</v>
      </c>
      <c r="L23" t="s">
        <v>721</v>
      </c>
      <c r="M23">
        <v>3149</v>
      </c>
      <c r="N23" t="s">
        <v>894</v>
      </c>
      <c r="O23" t="s">
        <v>912</v>
      </c>
      <c r="P23" s="345" t="s">
        <v>976</v>
      </c>
      <c r="Q23" t="s">
        <v>913</v>
      </c>
      <c r="R23" s="184"/>
      <c r="U23" s="284">
        <v>2414</v>
      </c>
      <c r="V23" s="284" t="s">
        <v>535</v>
      </c>
      <c r="W23" s="284" t="s">
        <v>424</v>
      </c>
      <c r="X23" s="290" t="s">
        <v>167</v>
      </c>
      <c r="Y23" s="284" t="s">
        <v>536</v>
      </c>
      <c r="Z23" s="285">
        <v>41018</v>
      </c>
      <c r="AA23" s="285">
        <v>25797</v>
      </c>
      <c r="AB23" s="284" t="s">
        <v>516</v>
      </c>
      <c r="AC23" s="284" t="s">
        <v>514</v>
      </c>
      <c r="AD23" s="7" t="s">
        <v>672</v>
      </c>
      <c r="AE23" s="324" t="s">
        <v>70</v>
      </c>
      <c r="AM23" s="220" t="s">
        <v>78</v>
      </c>
      <c r="AN23" s="130" t="s">
        <v>173</v>
      </c>
      <c r="AO23" s="130" t="s">
        <v>241</v>
      </c>
      <c r="AP23" s="130" t="s">
        <v>149</v>
      </c>
      <c r="AQ23" s="155"/>
      <c r="AR23" s="155"/>
      <c r="AS23" s="155"/>
      <c r="AT23" s="155"/>
      <c r="AU23" s="155"/>
      <c r="AV23" s="154"/>
      <c r="AW23" s="154"/>
      <c r="AX23" s="154"/>
      <c r="AY23" s="154"/>
      <c r="AZ23" s="154"/>
      <c r="BA23" s="154"/>
      <c r="BB23" s="154"/>
      <c r="BC23" s="154"/>
      <c r="BD23" s="94" t="str">
        <f>AM23</f>
        <v>Craig Sanford</v>
      </c>
      <c r="BJ23" t="s">
        <v>457</v>
      </c>
      <c r="BK23" s="184" t="s">
        <v>475</v>
      </c>
      <c r="BL23">
        <v>1463</v>
      </c>
    </row>
    <row r="24" spans="1:64" ht="15" x14ac:dyDescent="0.2">
      <c r="A24" t="s">
        <v>762</v>
      </c>
      <c r="B24" t="s">
        <v>449</v>
      </c>
      <c r="C24" t="s">
        <v>723</v>
      </c>
      <c r="D24" s="347" t="str">
        <f>"05/12/1962"</f>
        <v>05/12/1962</v>
      </c>
      <c r="E24">
        <v>55</v>
      </c>
      <c r="F24">
        <v>1144</v>
      </c>
      <c r="G24" t="s">
        <v>763</v>
      </c>
      <c r="H24" t="s">
        <v>764</v>
      </c>
      <c r="I24" t="str">
        <f>"0422 879 262"</f>
        <v>0422 879 262</v>
      </c>
      <c r="J24" t="s">
        <v>765</v>
      </c>
      <c r="K24" t="s">
        <v>766</v>
      </c>
      <c r="L24" t="s">
        <v>721</v>
      </c>
      <c r="M24">
        <v>3797</v>
      </c>
      <c r="N24" t="s">
        <v>516</v>
      </c>
      <c r="O24"/>
      <c r="P24"/>
      <c r="Q24"/>
      <c r="R24" s="184" t="s">
        <v>858</v>
      </c>
      <c r="S24" s="339" t="s">
        <v>517</v>
      </c>
      <c r="U24" s="284">
        <v>2552</v>
      </c>
      <c r="V24" s="284" t="s">
        <v>453</v>
      </c>
      <c r="W24" s="284" t="s">
        <v>454</v>
      </c>
      <c r="X24" s="290" t="s">
        <v>554</v>
      </c>
      <c r="Y24" s="284" t="s">
        <v>537</v>
      </c>
      <c r="Z24" s="284"/>
      <c r="AA24" s="285">
        <v>23425</v>
      </c>
      <c r="AB24" s="284" t="s">
        <v>516</v>
      </c>
      <c r="AC24" s="284"/>
      <c r="AD24" s="7" t="s">
        <v>673</v>
      </c>
      <c r="AE24" s="323" t="s">
        <v>681</v>
      </c>
      <c r="AM24" s="94" t="s">
        <v>67</v>
      </c>
      <c r="AN24" s="130" t="s">
        <v>168</v>
      </c>
      <c r="AO24" s="130" t="s">
        <v>235</v>
      </c>
      <c r="AP24" s="130"/>
      <c r="AQ24" s="155"/>
      <c r="AR24" s="155"/>
      <c r="AS24" s="155"/>
      <c r="AT24" s="155"/>
      <c r="AU24" s="155"/>
      <c r="AV24" s="154"/>
      <c r="AW24" s="154"/>
      <c r="AX24" s="154"/>
      <c r="AY24" s="154"/>
      <c r="AZ24" s="154"/>
      <c r="BA24" s="154"/>
      <c r="BB24" s="154"/>
      <c r="BC24" s="154"/>
      <c r="BD24" s="94" t="str">
        <f t="shared" si="0"/>
        <v>Michael Rafferty</v>
      </c>
      <c r="BJ24" t="s">
        <v>458</v>
      </c>
      <c r="BK24" t="s">
        <v>459</v>
      </c>
      <c r="BL24">
        <v>1464</v>
      </c>
    </row>
    <row r="25" spans="1:64" ht="15" x14ac:dyDescent="0.2">
      <c r="A25" t="s">
        <v>442</v>
      </c>
      <c r="B25" t="s">
        <v>767</v>
      </c>
      <c r="C25" t="s">
        <v>723</v>
      </c>
      <c r="D25" s="346">
        <v>33445</v>
      </c>
      <c r="E25">
        <v>26</v>
      </c>
      <c r="F25">
        <v>2037</v>
      </c>
      <c r="G25" t="s">
        <v>768</v>
      </c>
      <c r="H25"/>
      <c r="I25" t="str">
        <f>"0401529373"</f>
        <v>0401529373</v>
      </c>
      <c r="J25" t="s">
        <v>769</v>
      </c>
      <c r="K25" t="s">
        <v>770</v>
      </c>
      <c r="L25" t="s">
        <v>771</v>
      </c>
      <c r="M25">
        <v>3182</v>
      </c>
      <c r="N25" t="s">
        <v>516</v>
      </c>
      <c r="O25" t="s">
        <v>772</v>
      </c>
      <c r="P25" t="str">
        <f>"0400051960"</f>
        <v>0400051960</v>
      </c>
      <c r="Q25" t="s">
        <v>914</v>
      </c>
      <c r="R25" s="184" t="s">
        <v>860</v>
      </c>
      <c r="S25" s="339" t="s">
        <v>517</v>
      </c>
      <c r="U25" s="284">
        <v>1462</v>
      </c>
      <c r="V25" s="284" t="s">
        <v>455</v>
      </c>
      <c r="W25" s="284" t="s">
        <v>456</v>
      </c>
      <c r="X25" s="290" t="s">
        <v>232</v>
      </c>
      <c r="Y25" s="284" t="s">
        <v>538</v>
      </c>
      <c r="Z25" s="285">
        <v>41018</v>
      </c>
      <c r="AA25" s="285">
        <v>33126</v>
      </c>
      <c r="AB25" s="284" t="s">
        <v>516</v>
      </c>
      <c r="AC25" s="284" t="s">
        <v>514</v>
      </c>
      <c r="AD25" s="7" t="s">
        <v>673</v>
      </c>
      <c r="AM25" s="94" t="s">
        <v>73</v>
      </c>
      <c r="AN25" s="130" t="s">
        <v>167</v>
      </c>
      <c r="AO25" s="130" t="s">
        <v>224</v>
      </c>
      <c r="AP25" s="130" t="s">
        <v>70</v>
      </c>
      <c r="AQ25" s="155"/>
      <c r="AR25" s="155"/>
      <c r="AS25" s="155"/>
      <c r="AT25" s="155"/>
      <c r="AU25" s="155"/>
      <c r="AV25" s="154"/>
      <c r="AW25" s="154"/>
      <c r="AX25" s="154"/>
      <c r="AY25" s="154"/>
      <c r="AZ25" s="154"/>
      <c r="BA25" s="154"/>
      <c r="BB25" s="154"/>
      <c r="BC25" s="154"/>
      <c r="BD25" s="94" t="str">
        <f>AM25</f>
        <v>James McEniry</v>
      </c>
      <c r="BJ25" t="s">
        <v>460</v>
      </c>
      <c r="BK25" s="184" t="s">
        <v>476</v>
      </c>
      <c r="BL25">
        <v>1465</v>
      </c>
    </row>
    <row r="26" spans="1:64" ht="15" x14ac:dyDescent="0.2">
      <c r="A26" t="s">
        <v>442</v>
      </c>
      <c r="B26" t="s">
        <v>443</v>
      </c>
      <c r="C26" t="s">
        <v>717</v>
      </c>
      <c r="D26" s="347" t="str">
        <f>"08/07/1989"</f>
        <v>08/07/1989</v>
      </c>
      <c r="E26">
        <v>28</v>
      </c>
      <c r="F26">
        <v>1727</v>
      </c>
      <c r="G26" t="s">
        <v>528</v>
      </c>
      <c r="H26"/>
      <c r="I26" t="str">
        <f>"0401 529 528"</f>
        <v>0401 529 528</v>
      </c>
      <c r="J26" t="s">
        <v>773</v>
      </c>
      <c r="K26" t="s">
        <v>774</v>
      </c>
      <c r="L26" t="s">
        <v>721</v>
      </c>
      <c r="M26">
        <v>3931</v>
      </c>
      <c r="N26" t="s">
        <v>516</v>
      </c>
      <c r="O26" t="s">
        <v>772</v>
      </c>
      <c r="P26" t="str">
        <f>"0400 051 960"</f>
        <v>0400 051 960</v>
      </c>
      <c r="Q26" t="s">
        <v>915</v>
      </c>
      <c r="R26" s="184" t="s">
        <v>860</v>
      </c>
      <c r="S26" s="339" t="s">
        <v>517</v>
      </c>
      <c r="U26" s="284">
        <v>1464</v>
      </c>
      <c r="V26" s="284" t="s">
        <v>458</v>
      </c>
      <c r="W26" s="284" t="s">
        <v>459</v>
      </c>
      <c r="X26" s="290" t="s">
        <v>337</v>
      </c>
      <c r="Y26" s="284" t="s">
        <v>539</v>
      </c>
      <c r="Z26" s="285">
        <v>41117</v>
      </c>
      <c r="AA26" s="285">
        <v>26171</v>
      </c>
      <c r="AB26" s="284" t="s">
        <v>516</v>
      </c>
      <c r="AC26" s="284" t="s">
        <v>514</v>
      </c>
      <c r="AD26" s="7" t="s">
        <v>672</v>
      </c>
      <c r="AE26" s="322" t="s">
        <v>682</v>
      </c>
      <c r="AM26" s="220" t="s">
        <v>7</v>
      </c>
      <c r="AN26" s="130" t="s">
        <v>169</v>
      </c>
      <c r="AO26" s="130" t="s">
        <v>213</v>
      </c>
      <c r="AP26" s="130" t="s">
        <v>150</v>
      </c>
      <c r="AQ26" s="155"/>
      <c r="AR26" s="155"/>
      <c r="AS26" s="155"/>
      <c r="AT26" s="155"/>
      <c r="AU26" s="155"/>
      <c r="AV26" s="154"/>
      <c r="AW26" s="154"/>
      <c r="AX26" s="154"/>
      <c r="AY26" s="154"/>
      <c r="AZ26" s="154"/>
      <c r="BA26" s="154"/>
      <c r="BB26" s="154"/>
      <c r="BC26" s="154"/>
      <c r="BD26" s="94" t="str">
        <f t="shared" si="0"/>
        <v>Michael Harvey</v>
      </c>
      <c r="BJ26" t="s">
        <v>427</v>
      </c>
      <c r="BK26" t="s">
        <v>428</v>
      </c>
      <c r="BL26">
        <v>1138</v>
      </c>
    </row>
    <row r="27" spans="1:64" ht="15" x14ac:dyDescent="0.2">
      <c r="A27" t="s">
        <v>446</v>
      </c>
      <c r="B27" t="s">
        <v>447</v>
      </c>
      <c r="C27" t="s">
        <v>723</v>
      </c>
      <c r="D27" s="346">
        <v>22057</v>
      </c>
      <c r="E27">
        <v>57</v>
      </c>
      <c r="F27">
        <v>2161</v>
      </c>
      <c r="G27" t="s">
        <v>530</v>
      </c>
      <c r="H27" t="s">
        <v>775</v>
      </c>
      <c r="I27" t="str">
        <f>"0450 310 796"</f>
        <v>0450 310 796</v>
      </c>
      <c r="J27" t="s">
        <v>776</v>
      </c>
      <c r="K27" t="s">
        <v>777</v>
      </c>
      <c r="L27" t="s">
        <v>721</v>
      </c>
      <c r="M27">
        <v>3193</v>
      </c>
      <c r="N27" t="s">
        <v>516</v>
      </c>
      <c r="O27"/>
      <c r="P27"/>
      <c r="Q27"/>
      <c r="R27" s="184" t="s">
        <v>858</v>
      </c>
      <c r="S27" s="339" t="s">
        <v>517</v>
      </c>
      <c r="U27" s="284">
        <v>1465</v>
      </c>
      <c r="V27" s="284" t="s">
        <v>460</v>
      </c>
      <c r="W27" s="284" t="s">
        <v>476</v>
      </c>
      <c r="X27" s="292" t="s">
        <v>335</v>
      </c>
      <c r="Y27" s="284" t="s">
        <v>540</v>
      </c>
      <c r="Z27" s="285">
        <v>41018</v>
      </c>
      <c r="AA27" s="285">
        <v>27080</v>
      </c>
      <c r="AB27" s="284" t="s">
        <v>516</v>
      </c>
      <c r="AC27" s="284" t="s">
        <v>514</v>
      </c>
      <c r="AD27" s="7" t="s">
        <v>672</v>
      </c>
      <c r="AE27" s="324" t="s">
        <v>70</v>
      </c>
      <c r="AM27" s="220" t="s">
        <v>98</v>
      </c>
      <c r="AN27" s="130" t="s">
        <v>267</v>
      </c>
      <c r="AO27" s="130" t="s">
        <v>211</v>
      </c>
      <c r="AP27" s="130" t="s">
        <v>150</v>
      </c>
      <c r="AQ27" s="155"/>
      <c r="AR27" s="155"/>
      <c r="AS27" s="155"/>
      <c r="AT27" s="155"/>
      <c r="AU27" s="155"/>
      <c r="AV27" s="154"/>
      <c r="AW27" s="154"/>
      <c r="AX27" s="154"/>
      <c r="AY27" s="154"/>
      <c r="AZ27" s="154"/>
      <c r="BA27" s="154"/>
      <c r="BB27" s="154"/>
      <c r="BC27" s="154"/>
      <c r="BD27" s="94" t="str">
        <f>AM27</f>
        <v>Glenn Goodman</v>
      </c>
      <c r="BJ27" t="s">
        <v>461</v>
      </c>
      <c r="BK27" t="s">
        <v>462</v>
      </c>
      <c r="BL27">
        <v>1466</v>
      </c>
    </row>
    <row r="28" spans="1:64" ht="15" x14ac:dyDescent="0.2">
      <c r="A28" t="s">
        <v>916</v>
      </c>
      <c r="B28" t="s">
        <v>917</v>
      </c>
      <c r="C28" t="s">
        <v>717</v>
      </c>
      <c r="D28" s="346">
        <v>25523</v>
      </c>
      <c r="E28">
        <v>48</v>
      </c>
      <c r="F28">
        <v>2340</v>
      </c>
      <c r="G28" t="s">
        <v>918</v>
      </c>
      <c r="H28" t="s">
        <v>919</v>
      </c>
      <c r="I28" t="str">
        <f>"0425 713 560"</f>
        <v>0425 713 560</v>
      </c>
      <c r="J28" t="s">
        <v>920</v>
      </c>
      <c r="K28" t="s">
        <v>921</v>
      </c>
      <c r="L28" t="s">
        <v>721</v>
      </c>
      <c r="M28">
        <v>3188</v>
      </c>
      <c r="N28" t="s">
        <v>516</v>
      </c>
      <c r="O28" t="s">
        <v>922</v>
      </c>
      <c r="P28" t="str">
        <f>"0418 561 336"</f>
        <v>0418 561 336</v>
      </c>
      <c r="Q28" t="s">
        <v>923</v>
      </c>
      <c r="R28" s="184" t="s">
        <v>855</v>
      </c>
      <c r="S28" s="339" t="s">
        <v>514</v>
      </c>
      <c r="U28" s="284">
        <v>1138</v>
      </c>
      <c r="V28" s="284" t="s">
        <v>427</v>
      </c>
      <c r="W28" s="284" t="s">
        <v>428</v>
      </c>
      <c r="X28" s="290" t="s">
        <v>179</v>
      </c>
      <c r="Y28" s="284" t="s">
        <v>541</v>
      </c>
      <c r="Z28" s="285">
        <v>41018</v>
      </c>
      <c r="AA28" s="285">
        <v>19565</v>
      </c>
      <c r="AB28" s="284" t="s">
        <v>516</v>
      </c>
      <c r="AC28" s="284" t="s">
        <v>514</v>
      </c>
      <c r="AD28" s="7" t="s">
        <v>672</v>
      </c>
      <c r="AE28" s="325" t="s">
        <v>150</v>
      </c>
      <c r="AM28" s="220" t="s">
        <v>90</v>
      </c>
      <c r="AN28" s="130" t="s">
        <v>340</v>
      </c>
      <c r="AO28" s="130" t="s">
        <v>316</v>
      </c>
      <c r="AP28" s="130"/>
      <c r="AQ28" s="155"/>
      <c r="AR28" s="155"/>
      <c r="AS28" s="155"/>
      <c r="AT28" s="155"/>
      <c r="AU28" s="155"/>
      <c r="AV28" s="154"/>
      <c r="AW28" s="154"/>
      <c r="AX28" s="154"/>
      <c r="AY28" s="154"/>
      <c r="AZ28" s="154"/>
      <c r="BA28" s="154"/>
      <c r="BB28" s="154"/>
      <c r="BC28" s="154"/>
      <c r="BD28" s="94" t="str">
        <f t="shared" si="0"/>
        <v>Andrew Baxter</v>
      </c>
      <c r="BJ28" t="s">
        <v>463</v>
      </c>
      <c r="BK28" t="s">
        <v>464</v>
      </c>
      <c r="BL28">
        <v>1467</v>
      </c>
    </row>
    <row r="29" spans="1:64" ht="15" x14ac:dyDescent="0.2">
      <c r="A29" t="s">
        <v>448</v>
      </c>
      <c r="B29" t="s">
        <v>450</v>
      </c>
      <c r="C29" t="s">
        <v>723</v>
      </c>
      <c r="D29" s="346">
        <v>35904</v>
      </c>
      <c r="E29">
        <v>19</v>
      </c>
      <c r="F29">
        <v>1926</v>
      </c>
      <c r="G29" t="s">
        <v>531</v>
      </c>
      <c r="H29" t="s">
        <v>778</v>
      </c>
      <c r="I29" t="str">
        <f>"0432 164 346"</f>
        <v>0432 164 346</v>
      </c>
      <c r="J29" t="s">
        <v>779</v>
      </c>
      <c r="K29" t="s">
        <v>780</v>
      </c>
      <c r="L29" t="s">
        <v>721</v>
      </c>
      <c r="M29">
        <v>3124</v>
      </c>
      <c r="N29" t="s">
        <v>516</v>
      </c>
      <c r="O29" t="s">
        <v>356</v>
      </c>
      <c r="P29" t="str">
        <f>"0423 904 990"</f>
        <v>0423 904 990</v>
      </c>
      <c r="Q29"/>
      <c r="R29" s="184" t="s">
        <v>861</v>
      </c>
      <c r="S29" s="339" t="s">
        <v>514</v>
      </c>
      <c r="U29" s="284">
        <v>1468</v>
      </c>
      <c r="V29" s="284" t="s">
        <v>465</v>
      </c>
      <c r="W29" s="284" t="s">
        <v>466</v>
      </c>
      <c r="X29" s="291" t="s">
        <v>333</v>
      </c>
      <c r="Y29" s="284" t="s">
        <v>542</v>
      </c>
      <c r="Z29" s="284"/>
      <c r="AA29" s="285">
        <v>26611</v>
      </c>
      <c r="AB29" s="284" t="s">
        <v>516</v>
      </c>
      <c r="AC29" s="284" t="s">
        <v>517</v>
      </c>
      <c r="AD29" s="7" t="s">
        <v>672</v>
      </c>
      <c r="AE29" s="322" t="s">
        <v>682</v>
      </c>
      <c r="AM29" s="220" t="s">
        <v>285</v>
      </c>
      <c r="AN29" s="130" t="s">
        <v>332</v>
      </c>
      <c r="AO29" s="130" t="s">
        <v>319</v>
      </c>
      <c r="AP29" s="130"/>
      <c r="AQ29" s="155"/>
      <c r="AR29" s="155"/>
      <c r="AS29" s="155"/>
      <c r="AT29" s="155"/>
      <c r="AU29" s="155"/>
      <c r="AV29" s="154"/>
      <c r="AW29" s="154"/>
      <c r="AX29" s="154"/>
      <c r="AY29" s="154"/>
      <c r="AZ29" s="154"/>
      <c r="BA29" s="154"/>
      <c r="BB29" s="154"/>
      <c r="BC29" s="154"/>
      <c r="BD29" s="94" t="str">
        <f t="shared" si="0"/>
        <v>Dean Godfrey</v>
      </c>
      <c r="BJ29" t="s">
        <v>465</v>
      </c>
      <c r="BK29" t="s">
        <v>466</v>
      </c>
      <c r="BL29">
        <v>1468</v>
      </c>
    </row>
    <row r="30" spans="1:64" ht="15" x14ac:dyDescent="0.2">
      <c r="A30" t="s">
        <v>448</v>
      </c>
      <c r="B30" t="s">
        <v>449</v>
      </c>
      <c r="C30" t="s">
        <v>723</v>
      </c>
      <c r="D30" s="346">
        <v>23517</v>
      </c>
      <c r="E30">
        <v>53</v>
      </c>
      <c r="F30">
        <v>1925</v>
      </c>
      <c r="G30" t="s">
        <v>532</v>
      </c>
      <c r="H30"/>
      <c r="I30" t="str">
        <f>"0478 407 445"</f>
        <v>0478 407 445</v>
      </c>
      <c r="J30" t="s">
        <v>781</v>
      </c>
      <c r="K30" t="s">
        <v>780</v>
      </c>
      <c r="L30" t="s">
        <v>721</v>
      </c>
      <c r="M30">
        <v>3124</v>
      </c>
      <c r="N30" t="s">
        <v>516</v>
      </c>
      <c r="O30" t="s">
        <v>356</v>
      </c>
      <c r="P30" t="str">
        <f>"0423 904990"</f>
        <v>0423 904990</v>
      </c>
      <c r="Q30" t="s">
        <v>901</v>
      </c>
      <c r="R30" s="184" t="s">
        <v>858</v>
      </c>
      <c r="S30" s="339" t="s">
        <v>517</v>
      </c>
      <c r="U30" s="284">
        <v>1214</v>
      </c>
      <c r="V30" s="284" t="s">
        <v>431</v>
      </c>
      <c r="W30" s="284" t="s">
        <v>432</v>
      </c>
      <c r="X30" s="290" t="s">
        <v>163</v>
      </c>
      <c r="Y30" s="284" t="s">
        <v>543</v>
      </c>
      <c r="Z30" s="285">
        <v>41018</v>
      </c>
      <c r="AA30" s="285">
        <v>26048</v>
      </c>
      <c r="AB30" s="284" t="s">
        <v>516</v>
      </c>
      <c r="AC30" s="284" t="s">
        <v>514</v>
      </c>
      <c r="AD30" s="7" t="s">
        <v>672</v>
      </c>
      <c r="AE30" s="324" t="s">
        <v>70</v>
      </c>
      <c r="AM30" s="220" t="s">
        <v>5</v>
      </c>
      <c r="AN30" s="130" t="s">
        <v>172</v>
      </c>
      <c r="AO30" s="130" t="s">
        <v>212</v>
      </c>
      <c r="AP30" s="130"/>
      <c r="AQ30" s="155"/>
      <c r="AR30" s="155"/>
      <c r="AS30" s="155"/>
      <c r="AT30" s="155"/>
      <c r="AU30" s="155"/>
      <c r="AV30" s="154"/>
      <c r="AW30" s="154"/>
      <c r="AX30" s="154"/>
      <c r="AY30" s="154"/>
      <c r="AZ30" s="154"/>
      <c r="BA30" s="154"/>
      <c r="BB30" s="154"/>
      <c r="BC30" s="154"/>
      <c r="BD30" s="94" t="str">
        <f>AM30</f>
        <v>John Hand</v>
      </c>
      <c r="BJ30" t="s">
        <v>431</v>
      </c>
      <c r="BK30" t="s">
        <v>434</v>
      </c>
      <c r="BL30">
        <v>1219</v>
      </c>
    </row>
    <row r="31" spans="1:64" ht="15" x14ac:dyDescent="0.2">
      <c r="A31" t="s">
        <v>451</v>
      </c>
      <c r="B31" t="s">
        <v>452</v>
      </c>
      <c r="C31" t="s">
        <v>723</v>
      </c>
      <c r="D31" s="346">
        <v>37609</v>
      </c>
      <c r="E31">
        <v>15</v>
      </c>
      <c r="F31">
        <v>2145</v>
      </c>
      <c r="G31" t="s">
        <v>782</v>
      </c>
      <c r="H31" t="str">
        <f>"03 98867237"</f>
        <v>03 98867237</v>
      </c>
      <c r="I31" t="str">
        <f>"0410 618 560"</f>
        <v>0410 618 560</v>
      </c>
      <c r="J31" t="s">
        <v>783</v>
      </c>
      <c r="K31" t="s">
        <v>784</v>
      </c>
      <c r="L31" t="s">
        <v>721</v>
      </c>
      <c r="M31">
        <v>3149</v>
      </c>
      <c r="N31" t="s">
        <v>516</v>
      </c>
      <c r="O31" t="s">
        <v>785</v>
      </c>
      <c r="P31" t="str">
        <f>"0410618560"</f>
        <v>0410618560</v>
      </c>
      <c r="Q31" t="s">
        <v>924</v>
      </c>
      <c r="R31" s="184" t="s">
        <v>862</v>
      </c>
      <c r="S31" s="306" t="s">
        <v>37</v>
      </c>
      <c r="U31" s="284">
        <v>1216</v>
      </c>
      <c r="V31" s="284" t="s">
        <v>431</v>
      </c>
      <c r="W31" s="284" t="s">
        <v>433</v>
      </c>
      <c r="X31" s="290" t="s">
        <v>555</v>
      </c>
      <c r="Y31" s="284" t="s">
        <v>543</v>
      </c>
      <c r="Z31" s="285">
        <v>41891</v>
      </c>
      <c r="AA31" s="285">
        <v>36353</v>
      </c>
      <c r="AB31" s="284" t="s">
        <v>516</v>
      </c>
      <c r="AC31" s="284" t="s">
        <v>514</v>
      </c>
      <c r="AD31" s="7" t="s">
        <v>672</v>
      </c>
      <c r="AE31" s="7" t="s">
        <v>683</v>
      </c>
      <c r="AM31" s="220" t="s">
        <v>27</v>
      </c>
      <c r="AN31" s="130" t="s">
        <v>170</v>
      </c>
      <c r="AO31" s="130" t="s">
        <v>253</v>
      </c>
      <c r="AP31" s="130"/>
      <c r="AQ31" s="155"/>
      <c r="AR31" s="155"/>
      <c r="AS31" s="155"/>
      <c r="AT31" s="155"/>
      <c r="AU31" s="155"/>
      <c r="AV31" s="154"/>
      <c r="AW31" s="154"/>
      <c r="AX31" s="154"/>
      <c r="AY31" s="154"/>
      <c r="AZ31" s="154"/>
      <c r="BA31" s="154"/>
      <c r="BB31" s="154"/>
      <c r="BC31" s="154"/>
      <c r="BD31" s="94" t="str">
        <f t="shared" si="0"/>
        <v>Warren Holst</v>
      </c>
      <c r="BJ31" t="s">
        <v>431</v>
      </c>
      <c r="BK31" t="s">
        <v>432</v>
      </c>
      <c r="BL31">
        <v>1214</v>
      </c>
    </row>
    <row r="32" spans="1:64" ht="15" x14ac:dyDescent="0.2">
      <c r="A32" t="s">
        <v>429</v>
      </c>
      <c r="B32" t="s">
        <v>430</v>
      </c>
      <c r="C32" t="s">
        <v>723</v>
      </c>
      <c r="D32" s="346">
        <v>23645</v>
      </c>
      <c r="E32">
        <v>53</v>
      </c>
      <c r="F32">
        <v>1567</v>
      </c>
      <c r="G32" t="s">
        <v>533</v>
      </c>
      <c r="H32" t="s">
        <v>786</v>
      </c>
      <c r="I32" t="str">
        <f>"0447 082 991"</f>
        <v>0447 082 991</v>
      </c>
      <c r="J32" t="s">
        <v>787</v>
      </c>
      <c r="K32" t="s">
        <v>780</v>
      </c>
      <c r="L32" t="s">
        <v>721</v>
      </c>
      <c r="M32">
        <v>3124</v>
      </c>
      <c r="N32" t="s">
        <v>516</v>
      </c>
      <c r="O32" t="s">
        <v>788</v>
      </c>
      <c r="P32" t="s">
        <v>786</v>
      </c>
      <c r="Q32" t="s">
        <v>925</v>
      </c>
      <c r="R32" s="184" t="s">
        <v>858</v>
      </c>
      <c r="S32" s="306" t="s">
        <v>37</v>
      </c>
      <c r="U32" s="284">
        <v>1219</v>
      </c>
      <c r="V32" s="284" t="s">
        <v>431</v>
      </c>
      <c r="W32" s="284" t="s">
        <v>434</v>
      </c>
      <c r="X32" s="290" t="s">
        <v>556</v>
      </c>
      <c r="Y32" s="284" t="s">
        <v>543</v>
      </c>
      <c r="Z32" s="285">
        <v>41891</v>
      </c>
      <c r="AA32" s="285">
        <v>37117</v>
      </c>
      <c r="AB32" s="284" t="s">
        <v>516</v>
      </c>
      <c r="AC32" s="284" t="s">
        <v>514</v>
      </c>
      <c r="AD32" s="7" t="s">
        <v>672</v>
      </c>
      <c r="AE32" s="7" t="s">
        <v>60</v>
      </c>
      <c r="AM32" s="220" t="s">
        <v>25</v>
      </c>
      <c r="AN32" s="130" t="s">
        <v>171</v>
      </c>
      <c r="AO32" s="130" t="s">
        <v>216</v>
      </c>
      <c r="AP32" s="130" t="s">
        <v>150</v>
      </c>
      <c r="AQ32" s="155"/>
      <c r="AR32" s="155"/>
      <c r="AS32" s="155"/>
      <c r="AT32" s="155"/>
      <c r="AU32" s="155"/>
      <c r="AV32" s="154"/>
      <c r="AW32" s="154"/>
      <c r="AX32" s="154"/>
      <c r="AY32" s="154"/>
      <c r="AZ32" s="154"/>
      <c r="BA32" s="154"/>
      <c r="BB32" s="154"/>
      <c r="BC32" s="154"/>
      <c r="BD32" s="94" t="str">
        <f t="shared" si="0"/>
        <v>Christopher Knott</v>
      </c>
      <c r="BJ32" t="s">
        <v>431</v>
      </c>
      <c r="BK32" t="s">
        <v>433</v>
      </c>
      <c r="BL32">
        <v>1216</v>
      </c>
    </row>
    <row r="33" spans="1:64" ht="15" x14ac:dyDescent="0.2">
      <c r="A33" t="s">
        <v>677</v>
      </c>
      <c r="B33" t="s">
        <v>678</v>
      </c>
      <c r="C33" t="s">
        <v>717</v>
      </c>
      <c r="D33" s="346">
        <v>26900</v>
      </c>
      <c r="E33">
        <v>44</v>
      </c>
      <c r="F33">
        <v>1964</v>
      </c>
      <c r="G33" t="s">
        <v>789</v>
      </c>
      <c r="H33"/>
      <c r="I33" t="str">
        <f>"0413078804"</f>
        <v>0413078804</v>
      </c>
      <c r="J33" t="s">
        <v>790</v>
      </c>
      <c r="K33" t="s">
        <v>791</v>
      </c>
      <c r="L33" t="s">
        <v>771</v>
      </c>
      <c r="M33">
        <v>3121</v>
      </c>
      <c r="N33" t="s">
        <v>516</v>
      </c>
      <c r="O33" t="s">
        <v>792</v>
      </c>
      <c r="P33" t="str">
        <f>"0412093808"</f>
        <v>0412093808</v>
      </c>
      <c r="Q33" t="s">
        <v>926</v>
      </c>
      <c r="R33" s="184" t="s">
        <v>855</v>
      </c>
      <c r="S33" s="339" t="s">
        <v>517</v>
      </c>
      <c r="U33" s="284">
        <v>1470</v>
      </c>
      <c r="V33" s="284" t="s">
        <v>468</v>
      </c>
      <c r="W33" s="284" t="s">
        <v>469</v>
      </c>
      <c r="X33" s="290" t="s">
        <v>559</v>
      </c>
      <c r="Y33" s="284" t="s">
        <v>544</v>
      </c>
      <c r="Z33" s="285">
        <v>41451</v>
      </c>
      <c r="AA33" s="285">
        <v>32106</v>
      </c>
      <c r="AB33" s="284" t="s">
        <v>516</v>
      </c>
      <c r="AC33" s="284" t="s">
        <v>517</v>
      </c>
      <c r="AD33" s="7" t="s">
        <v>672</v>
      </c>
      <c r="AM33" s="220" t="s">
        <v>286</v>
      </c>
      <c r="AN33" s="153" t="s">
        <v>334</v>
      </c>
      <c r="AO33" s="130" t="s">
        <v>322</v>
      </c>
      <c r="AP33" s="130" t="s">
        <v>150</v>
      </c>
      <c r="AQ33" s="155"/>
      <c r="AR33" s="155"/>
      <c r="AS33" s="155"/>
      <c r="AT33" s="155"/>
      <c r="AU33" s="155"/>
      <c r="AV33" s="154"/>
      <c r="AW33" s="154"/>
      <c r="AX33" s="154"/>
      <c r="AY33" s="154"/>
      <c r="AZ33" s="154"/>
      <c r="BA33" s="154"/>
      <c r="BB33" s="154"/>
      <c r="BC33" s="154"/>
      <c r="BD33" s="94" t="str">
        <f>AM33</f>
        <v>Michael Jansen</v>
      </c>
      <c r="BJ33" t="s">
        <v>431</v>
      </c>
      <c r="BK33" t="s">
        <v>467</v>
      </c>
      <c r="BL33">
        <v>1469</v>
      </c>
    </row>
    <row r="34" spans="1:64" ht="15" x14ac:dyDescent="0.2">
      <c r="A34" t="s">
        <v>669</v>
      </c>
      <c r="B34" t="s">
        <v>966</v>
      </c>
      <c r="C34" t="s">
        <v>723</v>
      </c>
      <c r="D34" s="347" t="str">
        <f>"07/10/1974"</f>
        <v>07/10/1974</v>
      </c>
      <c r="E34">
        <v>43</v>
      </c>
      <c r="F34">
        <v>2684</v>
      </c>
      <c r="G34" t="s">
        <v>967</v>
      </c>
      <c r="H34" t="s">
        <v>968</v>
      </c>
      <c r="I34" t="str">
        <f>"0415 338 341"</f>
        <v>0415 338 341</v>
      </c>
      <c r="J34" t="s">
        <v>795</v>
      </c>
      <c r="K34" t="s">
        <v>969</v>
      </c>
      <c r="L34" t="s">
        <v>721</v>
      </c>
      <c r="M34">
        <v>3160</v>
      </c>
      <c r="N34" t="s">
        <v>516</v>
      </c>
      <c r="O34" t="s">
        <v>195</v>
      </c>
      <c r="P34" t="str">
        <f>"0409308261"</f>
        <v>0409308261</v>
      </c>
      <c r="Q34" t="s">
        <v>874</v>
      </c>
      <c r="R34" s="184" t="s">
        <v>859</v>
      </c>
      <c r="S34" s="306" t="s">
        <v>37</v>
      </c>
      <c r="U34" s="284"/>
      <c r="V34" s="284"/>
      <c r="W34" s="284"/>
      <c r="X34" s="290"/>
      <c r="Y34" s="284"/>
      <c r="Z34" s="285"/>
      <c r="AA34" s="285"/>
      <c r="AB34" s="284"/>
      <c r="AC34" s="284"/>
      <c r="AM34" s="220"/>
      <c r="AN34" s="153"/>
      <c r="AO34" s="130"/>
      <c r="AP34" s="130"/>
      <c r="AQ34" s="155"/>
      <c r="AR34" s="155"/>
      <c r="AS34" s="155"/>
      <c r="AT34" s="155"/>
      <c r="AU34" s="155"/>
      <c r="AV34" s="154"/>
      <c r="AW34" s="154"/>
      <c r="AX34" s="154"/>
      <c r="AY34" s="154"/>
      <c r="AZ34" s="154"/>
      <c r="BA34" s="154"/>
      <c r="BB34" s="154"/>
      <c r="BC34" s="154"/>
      <c r="BD34" s="94"/>
      <c r="BJ34"/>
      <c r="BK34"/>
      <c r="BL34"/>
    </row>
    <row r="35" spans="1:64" ht="15" x14ac:dyDescent="0.2">
      <c r="A35" t="s">
        <v>669</v>
      </c>
      <c r="B35" t="s">
        <v>793</v>
      </c>
      <c r="C35" t="s">
        <v>717</v>
      </c>
      <c r="D35" s="346">
        <v>24797</v>
      </c>
      <c r="E35">
        <v>50</v>
      </c>
      <c r="F35">
        <v>2041</v>
      </c>
      <c r="G35" t="s">
        <v>794</v>
      </c>
      <c r="H35" s="345" t="s">
        <v>977</v>
      </c>
      <c r="I35" t="str">
        <f>"0409308261"</f>
        <v>0409308261</v>
      </c>
      <c r="J35" t="s">
        <v>795</v>
      </c>
      <c r="K35" t="s">
        <v>796</v>
      </c>
      <c r="L35" t="s">
        <v>797</v>
      </c>
      <c r="M35">
        <v>3160</v>
      </c>
      <c r="N35" t="s">
        <v>516</v>
      </c>
      <c r="O35" t="s">
        <v>670</v>
      </c>
      <c r="P35" t="str">
        <f>"0415338341"</f>
        <v>0415338341</v>
      </c>
      <c r="Q35" t="s">
        <v>927</v>
      </c>
      <c r="R35" s="184" t="s">
        <v>855</v>
      </c>
      <c r="S35" s="339" t="s">
        <v>517</v>
      </c>
      <c r="U35" s="284">
        <v>1471</v>
      </c>
      <c r="V35" s="284" t="s">
        <v>470</v>
      </c>
      <c r="W35" s="284" t="s">
        <v>477</v>
      </c>
      <c r="X35" s="290" t="s">
        <v>272</v>
      </c>
      <c r="Y35" s="284" t="s">
        <v>545</v>
      </c>
      <c r="Z35" s="285">
        <v>41018</v>
      </c>
      <c r="AA35" s="285">
        <v>27344</v>
      </c>
      <c r="AB35" s="284" t="s">
        <v>516</v>
      </c>
      <c r="AC35" s="284" t="s">
        <v>517</v>
      </c>
      <c r="AD35" s="7" t="s">
        <v>672</v>
      </c>
      <c r="AE35" s="324" t="s">
        <v>70</v>
      </c>
      <c r="AM35" s="220" t="s">
        <v>119</v>
      </c>
      <c r="AN35" s="130" t="s">
        <v>175</v>
      </c>
      <c r="AO35" s="130" t="s">
        <v>258</v>
      </c>
      <c r="AP35" s="130" t="s">
        <v>150</v>
      </c>
      <c r="AQ35" s="155"/>
      <c r="AR35" s="155"/>
      <c r="AS35" s="155"/>
      <c r="AT35" s="155"/>
      <c r="AU35" s="155"/>
      <c r="AV35" s="154"/>
      <c r="AW35" s="154"/>
      <c r="AX35" s="154"/>
      <c r="AY35" s="154"/>
      <c r="AZ35" s="154"/>
      <c r="BA35" s="154"/>
      <c r="BB35" s="154"/>
      <c r="BC35" s="154"/>
      <c r="BD35" s="94" t="str">
        <f t="shared" si="0"/>
        <v>Craig Couper</v>
      </c>
      <c r="BJ35" t="s">
        <v>468</v>
      </c>
      <c r="BK35" t="s">
        <v>469</v>
      </c>
      <c r="BL35">
        <v>1470</v>
      </c>
    </row>
    <row r="36" spans="1:64" ht="15" x14ac:dyDescent="0.2">
      <c r="A36" t="s">
        <v>435</v>
      </c>
      <c r="B36" t="s">
        <v>436</v>
      </c>
      <c r="C36" t="s">
        <v>717</v>
      </c>
      <c r="D36" s="346">
        <v>24064</v>
      </c>
      <c r="E36">
        <v>52</v>
      </c>
      <c r="F36">
        <v>1508</v>
      </c>
      <c r="G36" t="s">
        <v>534</v>
      </c>
      <c r="H36" t="s">
        <v>798</v>
      </c>
      <c r="I36" t="str">
        <f>"0401 213 500"</f>
        <v>0401 213 500</v>
      </c>
      <c r="J36" t="s">
        <v>799</v>
      </c>
      <c r="K36" t="s">
        <v>800</v>
      </c>
      <c r="L36" t="s">
        <v>721</v>
      </c>
      <c r="M36">
        <v>3131</v>
      </c>
      <c r="N36" t="s">
        <v>516</v>
      </c>
      <c r="O36" t="s">
        <v>801</v>
      </c>
      <c r="P36" t="str">
        <f>"0419 987 836"</f>
        <v>0419 987 836</v>
      </c>
      <c r="Q36" t="s">
        <v>928</v>
      </c>
      <c r="R36" s="184" t="s">
        <v>855</v>
      </c>
      <c r="S36" s="339" t="s">
        <v>517</v>
      </c>
      <c r="U36" s="284"/>
      <c r="V36" s="284"/>
      <c r="W36" s="284"/>
      <c r="X36" s="289"/>
      <c r="Y36" s="284"/>
      <c r="Z36" s="284"/>
      <c r="AA36" s="284"/>
      <c r="AB36" s="284"/>
      <c r="AC36" s="284"/>
      <c r="AM36" s="94" t="s">
        <v>111</v>
      </c>
      <c r="AN36" s="130" t="s">
        <v>180</v>
      </c>
      <c r="AO36" s="130" t="s">
        <v>252</v>
      </c>
      <c r="AP36" s="130"/>
      <c r="AQ36" s="155"/>
      <c r="AR36" s="155"/>
      <c r="AS36" s="155"/>
      <c r="AT36" s="155"/>
      <c r="AU36" s="155"/>
      <c r="AV36" s="154"/>
      <c r="AW36" s="154"/>
      <c r="AX36" s="154"/>
      <c r="AY36" s="154"/>
      <c r="AZ36" s="154"/>
      <c r="BA36" s="154"/>
      <c r="BB36" s="154"/>
      <c r="BC36" s="154"/>
      <c r="BD36" s="94" t="str">
        <f>AM36</f>
        <v>Robert Carstairs</v>
      </c>
      <c r="BJ36" t="s">
        <v>470</v>
      </c>
      <c r="BK36" s="184" t="s">
        <v>477</v>
      </c>
      <c r="BL36">
        <v>1471</v>
      </c>
    </row>
    <row r="37" spans="1:64" ht="15.75" x14ac:dyDescent="0.25">
      <c r="A37" t="s">
        <v>535</v>
      </c>
      <c r="B37" t="s">
        <v>424</v>
      </c>
      <c r="C37" t="s">
        <v>723</v>
      </c>
      <c r="D37" s="346">
        <v>25797</v>
      </c>
      <c r="E37">
        <v>47</v>
      </c>
      <c r="F37">
        <v>1500</v>
      </c>
      <c r="G37" t="s">
        <v>536</v>
      </c>
      <c r="H37"/>
      <c r="I37" t="str">
        <f>"0422235433"</f>
        <v>0422235433</v>
      </c>
      <c r="J37" t="s">
        <v>802</v>
      </c>
      <c r="K37" t="s">
        <v>803</v>
      </c>
      <c r="L37" t="s">
        <v>721</v>
      </c>
      <c r="M37">
        <v>3186</v>
      </c>
      <c r="N37" t="s">
        <v>516</v>
      </c>
      <c r="O37" t="s">
        <v>804</v>
      </c>
      <c r="P37" t="str">
        <f>"0421271712"</f>
        <v>0421271712</v>
      </c>
      <c r="Q37" t="s">
        <v>901</v>
      </c>
      <c r="R37" s="184" t="s">
        <v>859</v>
      </c>
      <c r="S37" s="339" t="s">
        <v>514</v>
      </c>
      <c r="U37" s="281" t="s">
        <v>546</v>
      </c>
      <c r="V37" s="284"/>
      <c r="W37" s="284"/>
      <c r="X37" s="289"/>
      <c r="Y37" s="284"/>
      <c r="Z37" s="284"/>
      <c r="AA37" s="284"/>
      <c r="AB37" s="284"/>
      <c r="AC37" s="284"/>
      <c r="AM37" s="220" t="s">
        <v>6</v>
      </c>
      <c r="AN37" s="130" t="s">
        <v>178</v>
      </c>
      <c r="AO37" s="130" t="s">
        <v>321</v>
      </c>
      <c r="AP37" s="130" t="s">
        <v>70</v>
      </c>
      <c r="AQ37" s="155"/>
      <c r="AR37" s="155"/>
      <c r="AS37" s="155"/>
      <c r="AT37" s="155"/>
      <c r="AU37" s="155"/>
      <c r="AV37" s="154"/>
      <c r="AW37" s="154"/>
      <c r="AX37" s="154"/>
      <c r="AY37" s="154"/>
      <c r="AZ37" s="154"/>
      <c r="BA37" s="154"/>
      <c r="BB37" s="154"/>
      <c r="BC37" s="154"/>
      <c r="BD37" s="94" t="str">
        <f t="shared" si="0"/>
        <v>John Nolan</v>
      </c>
      <c r="BJ37" t="s">
        <v>471</v>
      </c>
      <c r="BK37" t="s">
        <v>472</v>
      </c>
      <c r="BL37">
        <v>1472</v>
      </c>
    </row>
    <row r="38" spans="1:64" ht="15" x14ac:dyDescent="0.2">
      <c r="A38" t="s">
        <v>453</v>
      </c>
      <c r="B38" t="s">
        <v>685</v>
      </c>
      <c r="C38" t="s">
        <v>717</v>
      </c>
      <c r="D38" s="346">
        <v>36818</v>
      </c>
      <c r="E38">
        <v>17</v>
      </c>
      <c r="F38">
        <v>2070</v>
      </c>
      <c r="G38" t="s">
        <v>805</v>
      </c>
      <c r="H38"/>
      <c r="I38" t="str">
        <f>"0417971758"</f>
        <v>0417971758</v>
      </c>
      <c r="J38" t="s">
        <v>806</v>
      </c>
      <c r="K38" t="s">
        <v>807</v>
      </c>
      <c r="L38" t="s">
        <v>797</v>
      </c>
      <c r="M38">
        <v>3130</v>
      </c>
      <c r="N38" t="s">
        <v>516</v>
      </c>
      <c r="O38" t="s">
        <v>808</v>
      </c>
      <c r="P38" t="str">
        <f>"0408685559"</f>
        <v>0408685559</v>
      </c>
      <c r="Q38" t="s">
        <v>872</v>
      </c>
      <c r="R38" s="184" t="s">
        <v>863</v>
      </c>
      <c r="S38" s="339" t="s">
        <v>517</v>
      </c>
      <c r="U38" s="284">
        <v>1452</v>
      </c>
      <c r="V38" s="284" t="s">
        <v>438</v>
      </c>
      <c r="W38" s="284" t="s">
        <v>474</v>
      </c>
      <c r="X38" s="290" t="s">
        <v>340</v>
      </c>
      <c r="Y38" s="284"/>
      <c r="Z38" s="284"/>
      <c r="AA38" s="285">
        <v>28673</v>
      </c>
      <c r="AB38" s="284"/>
      <c r="AC38" s="284"/>
      <c r="AM38" s="220" t="s">
        <v>23</v>
      </c>
      <c r="AN38" s="130" t="s">
        <v>179</v>
      </c>
      <c r="AO38" s="130" t="s">
        <v>238</v>
      </c>
      <c r="AP38" s="130" t="s">
        <v>351</v>
      </c>
      <c r="AQ38" s="155"/>
      <c r="AR38" s="155"/>
      <c r="AS38" s="155"/>
      <c r="AT38" s="155"/>
      <c r="AU38" s="155"/>
      <c r="AV38" s="154"/>
      <c r="AW38" s="154"/>
      <c r="AX38" s="154"/>
      <c r="AY38" s="154"/>
      <c r="AZ38" s="154"/>
      <c r="BA38" s="154"/>
      <c r="BB38" s="154"/>
      <c r="BC38" s="154"/>
      <c r="BD38" s="94" t="str">
        <f t="shared" si="0"/>
        <v>Clyde Riddoch</v>
      </c>
    </row>
    <row r="39" spans="1:64" ht="15" x14ac:dyDescent="0.2">
      <c r="A39" t="s">
        <v>453</v>
      </c>
      <c r="B39" t="s">
        <v>454</v>
      </c>
      <c r="C39" t="s">
        <v>717</v>
      </c>
      <c r="D39" s="346">
        <v>23425</v>
      </c>
      <c r="E39">
        <v>53</v>
      </c>
      <c r="F39">
        <v>2415</v>
      </c>
      <c r="G39" t="s">
        <v>537</v>
      </c>
      <c r="H39" s="345" t="s">
        <v>978</v>
      </c>
      <c r="I39" t="str">
        <f>"0413378072"</f>
        <v>0413378072</v>
      </c>
      <c r="J39" t="s">
        <v>929</v>
      </c>
      <c r="K39" t="s">
        <v>930</v>
      </c>
      <c r="L39" t="s">
        <v>797</v>
      </c>
      <c r="M39">
        <v>3150</v>
      </c>
      <c r="N39" t="s">
        <v>516</v>
      </c>
      <c r="O39" t="s">
        <v>931</v>
      </c>
      <c r="P39" t="str">
        <f>"0413806878"</f>
        <v>0413806878</v>
      </c>
      <c r="Q39" t="s">
        <v>927</v>
      </c>
      <c r="R39" s="184" t="s">
        <v>860</v>
      </c>
      <c r="S39" s="339" t="s">
        <v>517</v>
      </c>
      <c r="U39" s="284">
        <v>1460</v>
      </c>
      <c r="V39" s="284" t="s">
        <v>451</v>
      </c>
      <c r="W39" s="284" t="s">
        <v>452</v>
      </c>
      <c r="X39" s="290" t="s">
        <v>561</v>
      </c>
      <c r="Y39" s="284"/>
      <c r="Z39" s="284"/>
      <c r="AA39" s="285">
        <v>37609</v>
      </c>
      <c r="AB39" s="284"/>
      <c r="AC39" s="284"/>
      <c r="AD39" s="7" t="s">
        <v>672</v>
      </c>
      <c r="AE39" s="7" t="s">
        <v>61</v>
      </c>
      <c r="AM39" s="94"/>
      <c r="AN39" s="130"/>
      <c r="AO39" s="130"/>
      <c r="AP39" s="130"/>
      <c r="AQ39" s="155"/>
      <c r="AR39" s="155"/>
      <c r="AS39" s="155"/>
      <c r="AT39" s="155"/>
      <c r="AU39" s="155"/>
      <c r="AV39" s="154"/>
      <c r="AW39" s="154"/>
      <c r="AX39" s="154"/>
      <c r="AY39" s="154"/>
      <c r="AZ39" s="154"/>
      <c r="BA39" s="154"/>
      <c r="BB39" s="154"/>
      <c r="BC39" s="154"/>
      <c r="BD39" s="94"/>
    </row>
    <row r="40" spans="1:64" ht="15" x14ac:dyDescent="0.2">
      <c r="A40" t="s">
        <v>547</v>
      </c>
      <c r="B40" t="s">
        <v>475</v>
      </c>
      <c r="C40" t="s">
        <v>723</v>
      </c>
      <c r="D40" s="346">
        <v>25611</v>
      </c>
      <c r="E40">
        <v>47</v>
      </c>
      <c r="F40">
        <v>2157</v>
      </c>
      <c r="G40" t="s">
        <v>809</v>
      </c>
      <c r="H40"/>
      <c r="I40" t="str">
        <f>"0423 906 394"</f>
        <v>0423 906 394</v>
      </c>
      <c r="J40" t="s">
        <v>810</v>
      </c>
      <c r="K40" t="s">
        <v>811</v>
      </c>
      <c r="L40" t="s">
        <v>721</v>
      </c>
      <c r="M40">
        <v>3172</v>
      </c>
      <c r="N40" t="s">
        <v>516</v>
      </c>
      <c r="O40" t="s">
        <v>812</v>
      </c>
      <c r="P40" t="s">
        <v>813</v>
      </c>
      <c r="Q40" t="s">
        <v>932</v>
      </c>
      <c r="R40" s="184" t="s">
        <v>859</v>
      </c>
      <c r="S40" s="306" t="s">
        <v>37</v>
      </c>
      <c r="U40" s="284">
        <v>1463</v>
      </c>
      <c r="V40" s="284" t="s">
        <v>547</v>
      </c>
      <c r="W40" s="284" t="s">
        <v>475</v>
      </c>
      <c r="X40" s="290" t="s">
        <v>178</v>
      </c>
      <c r="Y40" s="284"/>
      <c r="Z40" s="284"/>
      <c r="AA40" s="285">
        <v>25611</v>
      </c>
      <c r="AB40" s="284"/>
      <c r="AC40" s="284"/>
      <c r="AD40" s="7" t="s">
        <v>672</v>
      </c>
      <c r="AE40" s="324" t="s">
        <v>70</v>
      </c>
      <c r="AM40" s="94" t="s">
        <v>121</v>
      </c>
      <c r="AN40" s="130" t="s">
        <v>166</v>
      </c>
      <c r="AO40" s="130"/>
      <c r="AP40" s="130"/>
      <c r="AQ40" s="155"/>
      <c r="AR40" s="155"/>
      <c r="AS40" s="155"/>
      <c r="AT40" s="155"/>
      <c r="AU40" s="155"/>
      <c r="AV40" s="154"/>
      <c r="AW40" s="154"/>
      <c r="AX40" s="154"/>
      <c r="AY40" s="154"/>
      <c r="AZ40" s="154"/>
      <c r="BA40" s="154"/>
      <c r="BB40" s="154"/>
      <c r="BC40" s="154"/>
      <c r="BD40" s="94" t="str">
        <f>AM40</f>
        <v>Nick Paine</v>
      </c>
    </row>
    <row r="41" spans="1:64" ht="15" x14ac:dyDescent="0.2">
      <c r="A41" t="s">
        <v>458</v>
      </c>
      <c r="B41" t="s">
        <v>459</v>
      </c>
      <c r="C41" t="s">
        <v>717</v>
      </c>
      <c r="D41" s="346">
        <v>26171</v>
      </c>
      <c r="E41">
        <v>46</v>
      </c>
      <c r="F41">
        <v>481</v>
      </c>
      <c r="G41" t="s">
        <v>539</v>
      </c>
      <c r="H41" s="345" t="s">
        <v>979</v>
      </c>
      <c r="I41" t="str">
        <f>"0423 904 990"</f>
        <v>0423 904 990</v>
      </c>
      <c r="J41" t="s">
        <v>814</v>
      </c>
      <c r="K41" t="s">
        <v>780</v>
      </c>
      <c r="L41" t="s">
        <v>721</v>
      </c>
      <c r="M41">
        <v>3124</v>
      </c>
      <c r="N41" t="s">
        <v>516</v>
      </c>
      <c r="O41" t="s">
        <v>286</v>
      </c>
      <c r="P41" t="str">
        <f>"0477788861"</f>
        <v>0477788861</v>
      </c>
      <c r="Q41" t="s">
        <v>927</v>
      </c>
      <c r="R41" s="184" t="s">
        <v>855</v>
      </c>
      <c r="S41" s="339" t="s">
        <v>514</v>
      </c>
      <c r="U41" s="284">
        <v>1467</v>
      </c>
      <c r="V41" s="284" t="s">
        <v>463</v>
      </c>
      <c r="W41" s="284" t="s">
        <v>464</v>
      </c>
      <c r="X41" s="290" t="s">
        <v>329</v>
      </c>
      <c r="Y41" s="284"/>
      <c r="Z41" s="284"/>
      <c r="AA41" s="285">
        <v>26396</v>
      </c>
      <c r="AB41" s="284"/>
      <c r="AC41" s="284"/>
      <c r="AE41" s="322" t="s">
        <v>682</v>
      </c>
      <c r="AM41" s="196" t="s">
        <v>189</v>
      </c>
      <c r="AN41" s="130" t="s">
        <v>270</v>
      </c>
      <c r="AO41" s="130"/>
      <c r="AP41" s="130" t="s">
        <v>150</v>
      </c>
      <c r="AQ41" s="155"/>
      <c r="AR41" s="155"/>
      <c r="AS41" s="155"/>
      <c r="AT41" s="155"/>
      <c r="AU41" s="155"/>
      <c r="AV41" s="154"/>
      <c r="AW41" s="154"/>
      <c r="AX41" s="154"/>
      <c r="AY41" s="154"/>
      <c r="AZ41" s="154"/>
      <c r="BA41" s="154"/>
      <c r="BB41" s="154"/>
      <c r="BC41" s="154"/>
      <c r="BD41" s="94" t="str">
        <f t="shared" si="0"/>
        <v>Greg Barton</v>
      </c>
    </row>
    <row r="42" spans="1:64" ht="15" x14ac:dyDescent="0.2">
      <c r="A42" t="s">
        <v>460</v>
      </c>
      <c r="B42" t="s">
        <v>476</v>
      </c>
      <c r="C42" t="s">
        <v>723</v>
      </c>
      <c r="D42" s="346">
        <v>27080</v>
      </c>
      <c r="E42">
        <v>43</v>
      </c>
      <c r="F42">
        <v>1668</v>
      </c>
      <c r="G42" t="s">
        <v>540</v>
      </c>
      <c r="H42" t="s">
        <v>815</v>
      </c>
      <c r="I42" t="str">
        <f>"0414 343 561"</f>
        <v>0414 343 561</v>
      </c>
      <c r="J42" t="s">
        <v>816</v>
      </c>
      <c r="K42" t="s">
        <v>817</v>
      </c>
      <c r="L42" t="s">
        <v>721</v>
      </c>
      <c r="M42">
        <v>3181</v>
      </c>
      <c r="N42" t="s">
        <v>516</v>
      </c>
      <c r="O42"/>
      <c r="P42"/>
      <c r="Q42"/>
      <c r="R42" s="184" t="s">
        <v>859</v>
      </c>
      <c r="S42" s="339" t="s">
        <v>514</v>
      </c>
      <c r="U42" s="284">
        <v>1469</v>
      </c>
      <c r="V42" s="284" t="s">
        <v>431</v>
      </c>
      <c r="W42" s="284" t="s">
        <v>467</v>
      </c>
      <c r="X42" s="290" t="s">
        <v>558</v>
      </c>
      <c r="Y42" s="284"/>
      <c r="Z42" s="284"/>
      <c r="AA42" s="284"/>
      <c r="AB42" s="284"/>
      <c r="AC42" s="284"/>
      <c r="AE42" s="322" t="s">
        <v>682</v>
      </c>
      <c r="AM42" s="196" t="s">
        <v>126</v>
      </c>
      <c r="AN42" s="130"/>
      <c r="AO42" s="130"/>
      <c r="AP42" s="130"/>
      <c r="AQ42" s="155"/>
      <c r="AR42" s="155"/>
      <c r="AS42" s="155"/>
      <c r="AT42" s="155"/>
      <c r="AU42" s="155"/>
      <c r="AV42" s="154"/>
      <c r="AW42" s="154"/>
      <c r="AX42" s="154"/>
      <c r="AY42" s="154"/>
      <c r="AZ42" s="154"/>
      <c r="BA42" s="154"/>
      <c r="BB42" s="154"/>
      <c r="BC42" s="154"/>
      <c r="BD42" s="94" t="str">
        <f t="shared" si="0"/>
        <v>Aaron Nitschke</v>
      </c>
    </row>
    <row r="43" spans="1:64" ht="15" x14ac:dyDescent="0.2">
      <c r="A43" t="s">
        <v>427</v>
      </c>
      <c r="B43" t="s">
        <v>428</v>
      </c>
      <c r="C43" t="s">
        <v>723</v>
      </c>
      <c r="D43" s="346">
        <v>19565</v>
      </c>
      <c r="E43">
        <v>64</v>
      </c>
      <c r="F43">
        <v>1342</v>
      </c>
      <c r="G43" t="s">
        <v>541</v>
      </c>
      <c r="H43" t="str">
        <f>"0439902907"</f>
        <v>0439902907</v>
      </c>
      <c r="I43" t="str">
        <f>"0439902907"</f>
        <v>0439902907</v>
      </c>
      <c r="J43" t="s">
        <v>818</v>
      </c>
      <c r="K43" t="s">
        <v>819</v>
      </c>
      <c r="L43" t="s">
        <v>820</v>
      </c>
      <c r="M43">
        <v>3072</v>
      </c>
      <c r="N43" t="s">
        <v>516</v>
      </c>
      <c r="O43" t="s">
        <v>821</v>
      </c>
      <c r="P43" t="str">
        <f>"03 9470 1490"</f>
        <v>03 9470 1490</v>
      </c>
      <c r="Q43" t="s">
        <v>933</v>
      </c>
      <c r="R43" s="184" t="s">
        <v>858</v>
      </c>
      <c r="S43" s="339" t="s">
        <v>514</v>
      </c>
      <c r="U43" s="284">
        <v>1472</v>
      </c>
      <c r="V43" s="284" t="s">
        <v>471</v>
      </c>
      <c r="W43" s="284" t="s">
        <v>472</v>
      </c>
      <c r="X43" s="290" t="s">
        <v>183</v>
      </c>
      <c r="Y43" s="284"/>
      <c r="Z43" s="284"/>
      <c r="AA43" s="285">
        <v>34088</v>
      </c>
      <c r="AB43" s="284"/>
      <c r="AC43" s="284"/>
      <c r="AD43" s="7" t="s">
        <v>672</v>
      </c>
      <c r="AM43" s="94" t="s">
        <v>95</v>
      </c>
      <c r="AN43" s="130" t="s">
        <v>161</v>
      </c>
      <c r="AO43" s="130" t="s">
        <v>220</v>
      </c>
      <c r="AP43" s="130" t="s">
        <v>70</v>
      </c>
      <c r="AQ43" s="155"/>
      <c r="AR43" s="155"/>
      <c r="AS43" s="155"/>
      <c r="AT43" s="155"/>
      <c r="AU43" s="155"/>
      <c r="AV43" s="154"/>
      <c r="AW43" s="154"/>
      <c r="AX43" s="154"/>
      <c r="AY43" s="154"/>
      <c r="AZ43" s="154"/>
      <c r="BA43" s="154"/>
      <c r="BB43" s="154"/>
      <c r="BC43" s="154"/>
      <c r="BD43" s="94" t="str">
        <f t="shared" si="0"/>
        <v>Anthony Lee</v>
      </c>
    </row>
    <row r="44" spans="1:64" ht="15" x14ac:dyDescent="0.2">
      <c r="A44" t="s">
        <v>822</v>
      </c>
      <c r="B44" t="s">
        <v>753</v>
      </c>
      <c r="C44" t="s">
        <v>723</v>
      </c>
      <c r="D44" s="346">
        <v>25081</v>
      </c>
      <c r="E44">
        <v>49</v>
      </c>
      <c r="F44">
        <v>1568</v>
      </c>
      <c r="G44" t="s">
        <v>823</v>
      </c>
      <c r="H44" t="s">
        <v>824</v>
      </c>
      <c r="I44" t="str">
        <f>"0416 052 115"</f>
        <v>0416 052 115</v>
      </c>
      <c r="J44" t="s">
        <v>825</v>
      </c>
      <c r="K44" t="s">
        <v>826</v>
      </c>
      <c r="L44" t="s">
        <v>721</v>
      </c>
      <c r="M44">
        <v>3150</v>
      </c>
      <c r="N44" t="s">
        <v>516</v>
      </c>
      <c r="O44" t="s">
        <v>827</v>
      </c>
      <c r="P44" t="str">
        <f>"0407887 249"</f>
        <v>0407887 249</v>
      </c>
      <c r="Q44" t="s">
        <v>874</v>
      </c>
      <c r="R44" s="184" t="s">
        <v>859</v>
      </c>
      <c r="S44" s="339" t="s">
        <v>514</v>
      </c>
      <c r="U44" s="284">
        <v>1473</v>
      </c>
      <c r="V44" s="284" t="s">
        <v>548</v>
      </c>
      <c r="W44" s="284" t="s">
        <v>549</v>
      </c>
      <c r="X44" s="290" t="s">
        <v>275</v>
      </c>
      <c r="Y44" s="284"/>
      <c r="Z44" s="284"/>
      <c r="AA44" s="285">
        <v>31296</v>
      </c>
      <c r="AB44" s="284"/>
      <c r="AC44" s="284"/>
      <c r="AM44" s="196" t="s">
        <v>263</v>
      </c>
      <c r="AN44" s="130" t="s">
        <v>269</v>
      </c>
      <c r="AO44" s="130"/>
      <c r="AP44" s="130" t="s">
        <v>149</v>
      </c>
      <c r="AQ44" s="155"/>
      <c r="AR44" s="155"/>
      <c r="AS44" s="155"/>
      <c r="AT44" s="155"/>
      <c r="AU44" s="155"/>
      <c r="AV44" s="154"/>
      <c r="AW44" s="154"/>
      <c r="AX44" s="154"/>
      <c r="AY44" s="154"/>
      <c r="AZ44" s="154"/>
      <c r="BA44" s="154"/>
      <c r="BB44" s="154"/>
      <c r="BC44" s="154"/>
      <c r="BD44" s="94" t="str">
        <f t="shared" si="0"/>
        <v>Chris Dunne</v>
      </c>
    </row>
    <row r="45" spans="1:64" ht="15" x14ac:dyDescent="0.2">
      <c r="A45" t="s">
        <v>465</v>
      </c>
      <c r="B45" t="s">
        <v>828</v>
      </c>
      <c r="C45" t="s">
        <v>723</v>
      </c>
      <c r="D45" s="346">
        <v>38179</v>
      </c>
      <c r="E45">
        <v>13</v>
      </c>
      <c r="F45">
        <v>2083</v>
      </c>
      <c r="G45" t="s">
        <v>542</v>
      </c>
      <c r="H45" t="str">
        <f>"0408550269"</f>
        <v>0408550269</v>
      </c>
      <c r="I45" t="str">
        <f>"0408550269"</f>
        <v>0408550269</v>
      </c>
      <c r="J45" t="s">
        <v>829</v>
      </c>
      <c r="K45" t="s">
        <v>830</v>
      </c>
      <c r="L45" t="s">
        <v>721</v>
      </c>
      <c r="M45">
        <v>3102</v>
      </c>
      <c r="N45" t="s">
        <v>516</v>
      </c>
      <c r="O45" t="s">
        <v>261</v>
      </c>
      <c r="P45" t="str">
        <f>"0408550269"</f>
        <v>0408550269</v>
      </c>
      <c r="Q45" t="s">
        <v>914</v>
      </c>
      <c r="R45" s="184" t="s">
        <v>864</v>
      </c>
      <c r="S45" s="339" t="s">
        <v>517</v>
      </c>
      <c r="V45" s="7" t="s">
        <v>669</v>
      </c>
      <c r="W45" s="7" t="s">
        <v>670</v>
      </c>
      <c r="AA45" s="321">
        <v>27309</v>
      </c>
      <c r="AD45" s="7" t="s">
        <v>672</v>
      </c>
      <c r="AE45" s="324" t="s">
        <v>70</v>
      </c>
      <c r="AM45" s="94" t="s">
        <v>125</v>
      </c>
      <c r="AN45" s="130" t="s">
        <v>268</v>
      </c>
      <c r="AO45" s="130"/>
      <c r="AP45" s="130" t="s">
        <v>150</v>
      </c>
      <c r="AQ45" s="155"/>
      <c r="AR45" s="155"/>
      <c r="AS45" s="155"/>
      <c r="AT45" s="155"/>
      <c r="AU45" s="155"/>
      <c r="AV45" s="154"/>
      <c r="AW45" s="154"/>
      <c r="AX45" s="154"/>
      <c r="AY45" s="154"/>
      <c r="AZ45" s="154"/>
      <c r="BA45" s="154"/>
      <c r="BB45" s="154"/>
      <c r="BC45" s="154"/>
      <c r="BD45" s="94" t="str">
        <f t="shared" si="0"/>
        <v>Hugh Hunter</v>
      </c>
    </row>
    <row r="46" spans="1:64" ht="15" x14ac:dyDescent="0.2">
      <c r="A46" t="s">
        <v>465</v>
      </c>
      <c r="B46" t="s">
        <v>466</v>
      </c>
      <c r="C46" t="s">
        <v>717</v>
      </c>
      <c r="D46" s="347" t="str">
        <f>"08/11/1972"</f>
        <v>08/11/1972</v>
      </c>
      <c r="E46">
        <v>45</v>
      </c>
      <c r="F46">
        <v>2080</v>
      </c>
      <c r="G46" t="s">
        <v>542</v>
      </c>
      <c r="H46"/>
      <c r="I46" t="str">
        <f>"0408550269"</f>
        <v>0408550269</v>
      </c>
      <c r="J46" t="s">
        <v>829</v>
      </c>
      <c r="K46" t="s">
        <v>830</v>
      </c>
      <c r="L46" t="s">
        <v>797</v>
      </c>
      <c r="M46">
        <v>3102</v>
      </c>
      <c r="N46" t="s">
        <v>516</v>
      </c>
      <c r="O46" t="s">
        <v>831</v>
      </c>
      <c r="P46" t="str">
        <f>"0412323037"</f>
        <v>0412323037</v>
      </c>
      <c r="Q46" t="s">
        <v>927</v>
      </c>
      <c r="R46" s="184" t="s">
        <v>855</v>
      </c>
      <c r="S46" s="339" t="s">
        <v>517</v>
      </c>
      <c r="V46" s="7" t="s">
        <v>671</v>
      </c>
      <c r="W46" s="7" t="s">
        <v>293</v>
      </c>
      <c r="AD46" s="7" t="s">
        <v>672</v>
      </c>
      <c r="AE46" s="7" t="s">
        <v>684</v>
      </c>
      <c r="AM46" s="94" t="s">
        <v>152</v>
      </c>
      <c r="AN46" s="130" t="s">
        <v>181</v>
      </c>
      <c r="AO46" s="130" t="s">
        <v>208</v>
      </c>
      <c r="AP46" s="130"/>
      <c r="AQ46" s="155"/>
      <c r="AR46" s="155"/>
      <c r="AS46" s="155"/>
      <c r="AT46" s="155"/>
      <c r="AU46" s="155"/>
      <c r="AV46" s="154"/>
      <c r="AW46" s="154"/>
      <c r="AX46" s="154"/>
      <c r="AY46" s="154"/>
      <c r="AZ46" s="154"/>
      <c r="BA46" s="154"/>
      <c r="BB46" s="154"/>
      <c r="BC46" s="154"/>
      <c r="BD46" s="94" t="str">
        <f t="shared" si="0"/>
        <v>Greg Carstairs</v>
      </c>
    </row>
    <row r="47" spans="1:64" ht="15" x14ac:dyDescent="0.2">
      <c r="A47" t="s">
        <v>431</v>
      </c>
      <c r="B47" t="s">
        <v>432</v>
      </c>
      <c r="C47" t="s">
        <v>723</v>
      </c>
      <c r="D47" s="346">
        <v>26048</v>
      </c>
      <c r="E47">
        <v>46</v>
      </c>
      <c r="F47">
        <v>2035</v>
      </c>
      <c r="G47" t="s">
        <v>543</v>
      </c>
      <c r="H47" s="345" t="s">
        <v>980</v>
      </c>
      <c r="I47" t="str">
        <f>"0418 420 609"</f>
        <v>0418 420 609</v>
      </c>
      <c r="J47" t="s">
        <v>832</v>
      </c>
      <c r="K47" t="s">
        <v>833</v>
      </c>
      <c r="L47" t="s">
        <v>721</v>
      </c>
      <c r="M47">
        <v>3128</v>
      </c>
      <c r="N47" t="s">
        <v>516</v>
      </c>
      <c r="O47" t="s">
        <v>386</v>
      </c>
      <c r="P47" t="str">
        <f>"0418 117 855"</f>
        <v>0418 117 855</v>
      </c>
      <c r="Q47" t="s">
        <v>874</v>
      </c>
      <c r="R47" s="184" t="s">
        <v>859</v>
      </c>
      <c r="S47" s="339" t="s">
        <v>514</v>
      </c>
      <c r="V47" s="7" t="s">
        <v>674</v>
      </c>
      <c r="W47" s="7" t="s">
        <v>521</v>
      </c>
      <c r="AA47" s="321">
        <v>24230</v>
      </c>
      <c r="AD47" s="7" t="s">
        <v>672</v>
      </c>
      <c r="AE47" s="325" t="s">
        <v>150</v>
      </c>
      <c r="AM47" s="94" t="s">
        <v>45</v>
      </c>
      <c r="AN47" s="130" t="s">
        <v>182</v>
      </c>
      <c r="AO47" s="130" t="s">
        <v>214</v>
      </c>
      <c r="AP47" s="130"/>
      <c r="AQ47" s="155"/>
      <c r="AR47" s="155"/>
      <c r="AS47" s="155"/>
      <c r="AT47" s="155"/>
      <c r="AU47" s="155"/>
      <c r="AV47" s="154"/>
      <c r="AW47" s="154"/>
      <c r="AX47" s="154"/>
      <c r="AY47" s="154"/>
      <c r="AZ47" s="154"/>
      <c r="BA47" s="154"/>
      <c r="BB47" s="154"/>
      <c r="BC47" s="154"/>
      <c r="BD47" s="94" t="str">
        <f t="shared" si="0"/>
        <v>Tim Hassett</v>
      </c>
    </row>
    <row r="48" spans="1:64" ht="15" x14ac:dyDescent="0.2">
      <c r="A48" t="s">
        <v>431</v>
      </c>
      <c r="B48" t="s">
        <v>433</v>
      </c>
      <c r="C48" t="s">
        <v>723</v>
      </c>
      <c r="D48" s="346">
        <v>36353</v>
      </c>
      <c r="E48">
        <v>18</v>
      </c>
      <c r="F48">
        <v>2205</v>
      </c>
      <c r="G48" t="s">
        <v>834</v>
      </c>
      <c r="H48" s="345" t="s">
        <v>980</v>
      </c>
      <c r="I48" t="str">
        <f>"0428942928"</f>
        <v>0428942928</v>
      </c>
      <c r="J48" t="s">
        <v>832</v>
      </c>
      <c r="K48" t="s">
        <v>835</v>
      </c>
      <c r="L48" t="s">
        <v>721</v>
      </c>
      <c r="M48">
        <v>3128</v>
      </c>
      <c r="N48" t="s">
        <v>516</v>
      </c>
      <c r="O48" t="s">
        <v>26</v>
      </c>
      <c r="P48" t="str">
        <f>"0418420609"</f>
        <v>0418420609</v>
      </c>
      <c r="Q48" t="s">
        <v>872</v>
      </c>
      <c r="R48" s="184" t="s">
        <v>861</v>
      </c>
      <c r="S48" s="339" t="s">
        <v>514</v>
      </c>
      <c r="V48" s="7" t="s">
        <v>677</v>
      </c>
      <c r="W48" s="7" t="s">
        <v>678</v>
      </c>
      <c r="AA48" s="321">
        <v>26900</v>
      </c>
      <c r="AE48" s="7" t="s">
        <v>682</v>
      </c>
      <c r="AM48" s="94" t="s">
        <v>81</v>
      </c>
      <c r="AN48" s="130"/>
      <c r="AO48" s="130" t="s">
        <v>206</v>
      </c>
      <c r="AP48" s="130"/>
      <c r="AQ48" s="155"/>
      <c r="AR48" s="155"/>
      <c r="AS48" s="155"/>
      <c r="AT48" s="155"/>
      <c r="AU48" s="155"/>
      <c r="AV48" s="154"/>
      <c r="AW48" s="154"/>
      <c r="AX48" s="154"/>
      <c r="AY48" s="154"/>
      <c r="AZ48" s="154"/>
      <c r="BA48" s="154"/>
      <c r="BB48" s="154"/>
      <c r="BC48" s="154"/>
      <c r="BD48" s="94" t="str">
        <f t="shared" si="0"/>
        <v>Yohan Amerasekera</v>
      </c>
    </row>
    <row r="49" spans="1:59" s="100" customFormat="1" ht="15" x14ac:dyDescent="0.2">
      <c r="A49" t="s">
        <v>431</v>
      </c>
      <c r="B49" t="s">
        <v>434</v>
      </c>
      <c r="C49" t="s">
        <v>723</v>
      </c>
      <c r="D49" s="346">
        <v>37117</v>
      </c>
      <c r="E49">
        <v>16</v>
      </c>
      <c r="F49">
        <v>2033</v>
      </c>
      <c r="G49" t="s">
        <v>543</v>
      </c>
      <c r="H49" s="345" t="s">
        <v>980</v>
      </c>
      <c r="I49" t="str">
        <f>"0439145068"</f>
        <v>0439145068</v>
      </c>
      <c r="J49" t="s">
        <v>832</v>
      </c>
      <c r="K49" t="s">
        <v>835</v>
      </c>
      <c r="L49" t="s">
        <v>721</v>
      </c>
      <c r="M49">
        <v>3128</v>
      </c>
      <c r="N49" t="s">
        <v>516</v>
      </c>
      <c r="O49" t="s">
        <v>26</v>
      </c>
      <c r="P49" t="str">
        <f>"0418420609"</f>
        <v>0418420609</v>
      </c>
      <c r="Q49" t="s">
        <v>872</v>
      </c>
      <c r="R49" s="184" t="s">
        <v>865</v>
      </c>
      <c r="S49" s="95" t="s">
        <v>514</v>
      </c>
      <c r="V49" s="95" t="s">
        <v>679</v>
      </c>
      <c r="W49" s="95" t="s">
        <v>680</v>
      </c>
      <c r="X49" s="99"/>
      <c r="AE49" s="326" t="s">
        <v>150</v>
      </c>
      <c r="AM49" s="117" t="s">
        <v>99</v>
      </c>
      <c r="AN49" s="133" t="s">
        <v>250</v>
      </c>
      <c r="AO49" s="133" t="s">
        <v>251</v>
      </c>
      <c r="AP49" s="133"/>
      <c r="AQ49" s="133"/>
      <c r="AR49" s="133"/>
      <c r="AS49" s="133"/>
      <c r="AT49" s="133"/>
      <c r="AU49" s="133"/>
      <c r="AV49" s="146"/>
      <c r="AW49" s="146"/>
      <c r="AX49" s="146"/>
      <c r="AY49" s="146"/>
      <c r="AZ49" s="146"/>
      <c r="BA49" s="146"/>
      <c r="BB49" s="146"/>
      <c r="BC49" s="146"/>
      <c r="BD49" s="94" t="str">
        <f t="shared" si="0"/>
        <v>James Wong</v>
      </c>
      <c r="BE49" s="99"/>
      <c r="BG49" s="199"/>
    </row>
    <row r="50" spans="1:59" ht="15" x14ac:dyDescent="0.2">
      <c r="A50" t="s">
        <v>468</v>
      </c>
      <c r="B50" t="s">
        <v>469</v>
      </c>
      <c r="C50" t="s">
        <v>717</v>
      </c>
      <c r="D50" s="346">
        <v>32106</v>
      </c>
      <c r="E50">
        <v>30</v>
      </c>
      <c r="F50">
        <v>2084</v>
      </c>
      <c r="G50" t="s">
        <v>544</v>
      </c>
      <c r="H50"/>
      <c r="I50" t="str">
        <f>"0413 191 402"</f>
        <v>0413 191 402</v>
      </c>
      <c r="J50" t="s">
        <v>836</v>
      </c>
      <c r="K50" t="s">
        <v>837</v>
      </c>
      <c r="L50" t="s">
        <v>721</v>
      </c>
      <c r="M50">
        <v>3150</v>
      </c>
      <c r="N50" t="s">
        <v>516</v>
      </c>
      <c r="O50" t="s">
        <v>838</v>
      </c>
      <c r="P50" t="str">
        <f>"0413 721 450"</f>
        <v>0413 721 450</v>
      </c>
      <c r="Q50" t="s">
        <v>934</v>
      </c>
      <c r="R50" s="184" t="s">
        <v>860</v>
      </c>
      <c r="S50" s="339" t="s">
        <v>517</v>
      </c>
      <c r="V50" s="7" t="s">
        <v>453</v>
      </c>
      <c r="W50" s="7" t="s">
        <v>685</v>
      </c>
      <c r="AE50" s="7" t="s">
        <v>684</v>
      </c>
      <c r="AM50" s="94" t="s">
        <v>97</v>
      </c>
      <c r="AN50" s="130" t="s">
        <v>239</v>
      </c>
      <c r="AO50" s="130" t="s">
        <v>240</v>
      </c>
      <c r="AP50" s="130"/>
      <c r="AQ50" s="155"/>
      <c r="AR50" s="155"/>
      <c r="AS50" s="155"/>
      <c r="AT50" s="155"/>
      <c r="AU50" s="155"/>
      <c r="AV50" s="154"/>
      <c r="AW50" s="154"/>
      <c r="AX50" s="154"/>
      <c r="AY50" s="154"/>
      <c r="AZ50" s="154"/>
      <c r="BA50" s="154"/>
      <c r="BB50" s="154"/>
      <c r="BC50" s="154"/>
      <c r="BD50" s="94" t="str">
        <f t="shared" si="0"/>
        <v>Matt Sandilands</v>
      </c>
    </row>
    <row r="51" spans="1:59" ht="15" x14ac:dyDescent="0.2">
      <c r="A51" t="s">
        <v>671</v>
      </c>
      <c r="B51" t="s">
        <v>293</v>
      </c>
      <c r="C51" t="s">
        <v>717</v>
      </c>
      <c r="D51" s="346">
        <v>36937</v>
      </c>
      <c r="E51">
        <v>16</v>
      </c>
      <c r="F51">
        <v>2155</v>
      </c>
      <c r="G51" t="s">
        <v>839</v>
      </c>
      <c r="H51" s="345" t="s">
        <v>981</v>
      </c>
      <c r="I51" t="str">
        <f>"0418140578"</f>
        <v>0418140578</v>
      </c>
      <c r="J51" t="s">
        <v>840</v>
      </c>
      <c r="K51" t="s">
        <v>837</v>
      </c>
      <c r="L51" t="s">
        <v>797</v>
      </c>
      <c r="M51">
        <v>3150</v>
      </c>
      <c r="N51" t="s">
        <v>516</v>
      </c>
      <c r="O51" t="s">
        <v>841</v>
      </c>
      <c r="P51" t="str">
        <f>"0418140578"</f>
        <v>0418140578</v>
      </c>
      <c r="Q51" t="s">
        <v>872</v>
      </c>
      <c r="R51" s="184" t="s">
        <v>863</v>
      </c>
      <c r="S51" s="306" t="s">
        <v>37</v>
      </c>
      <c r="AM51" s="94" t="s">
        <v>127</v>
      </c>
      <c r="AN51" s="130"/>
      <c r="AO51" s="130"/>
      <c r="AP51" s="130"/>
      <c r="AQ51" s="155"/>
      <c r="AR51" s="155"/>
      <c r="AS51" s="155"/>
      <c r="AT51" s="155"/>
      <c r="AU51" s="155"/>
      <c r="AV51" s="154"/>
      <c r="AW51" s="154"/>
      <c r="AX51" s="154"/>
      <c r="AY51" s="154"/>
      <c r="AZ51" s="154"/>
      <c r="BA51" s="154"/>
      <c r="BB51" s="154"/>
      <c r="BC51" s="154"/>
      <c r="BD51" s="94" t="str">
        <f t="shared" si="0"/>
        <v>Jeremy Nagle</v>
      </c>
    </row>
    <row r="52" spans="1:59" ht="15" x14ac:dyDescent="0.2">
      <c r="A52" t="s">
        <v>470</v>
      </c>
      <c r="B52" t="s">
        <v>477</v>
      </c>
      <c r="C52" t="s">
        <v>723</v>
      </c>
      <c r="D52" s="346">
        <v>27344</v>
      </c>
      <c r="E52">
        <v>43</v>
      </c>
      <c r="F52">
        <v>1238</v>
      </c>
      <c r="G52" t="s">
        <v>545</v>
      </c>
      <c r="H52"/>
      <c r="I52" t="str">
        <f>"0432 554 415"</f>
        <v>0432 554 415</v>
      </c>
      <c r="J52" t="s">
        <v>842</v>
      </c>
      <c r="K52" t="s">
        <v>843</v>
      </c>
      <c r="L52" t="s">
        <v>797</v>
      </c>
      <c r="M52">
        <v>3032</v>
      </c>
      <c r="N52" t="s">
        <v>516</v>
      </c>
      <c r="O52" t="s">
        <v>844</v>
      </c>
      <c r="P52" t="str">
        <f>"0422045385"</f>
        <v>0422045385</v>
      </c>
      <c r="Q52"/>
      <c r="R52" s="184" t="s">
        <v>859</v>
      </c>
      <c r="S52" s="339" t="s">
        <v>517</v>
      </c>
      <c r="AM52" s="94" t="s">
        <v>255</v>
      </c>
      <c r="AN52" s="130" t="s">
        <v>256</v>
      </c>
      <c r="AO52" s="130" t="s">
        <v>257</v>
      </c>
      <c r="AP52" s="130"/>
      <c r="AQ52" s="155"/>
      <c r="AR52" s="155"/>
      <c r="AS52" s="155"/>
      <c r="AT52" s="155"/>
      <c r="AU52" s="155"/>
      <c r="AV52" s="154"/>
      <c r="AW52" s="154"/>
      <c r="AX52" s="154"/>
      <c r="AY52" s="154"/>
      <c r="AZ52" s="154"/>
      <c r="BA52" s="154"/>
      <c r="BB52" s="154"/>
      <c r="BC52" s="154"/>
      <c r="BD52" s="94" t="str">
        <f t="shared" si="0"/>
        <v>Naveen Tenneti</v>
      </c>
    </row>
    <row r="53" spans="1:59" ht="15" x14ac:dyDescent="0.2">
      <c r="A53" t="s">
        <v>845</v>
      </c>
      <c r="B53" t="s">
        <v>846</v>
      </c>
      <c r="C53" t="s">
        <v>717</v>
      </c>
      <c r="D53" s="346">
        <v>32262</v>
      </c>
      <c r="E53">
        <v>29</v>
      </c>
      <c r="F53">
        <v>2103</v>
      </c>
      <c r="G53" t="s">
        <v>847</v>
      </c>
      <c r="H53"/>
      <c r="I53" t="str">
        <f>"0401647328"</f>
        <v>0401647328</v>
      </c>
      <c r="J53" t="s">
        <v>848</v>
      </c>
      <c r="K53" t="s">
        <v>837</v>
      </c>
      <c r="L53" t="s">
        <v>721</v>
      </c>
      <c r="M53">
        <v>3150</v>
      </c>
      <c r="N53" t="s">
        <v>516</v>
      </c>
      <c r="O53" t="s">
        <v>849</v>
      </c>
      <c r="P53" t="str">
        <f>"0427804145"</f>
        <v>0427804145</v>
      </c>
      <c r="Q53" t="s">
        <v>924</v>
      </c>
      <c r="R53" s="184" t="s">
        <v>860</v>
      </c>
      <c r="S53" s="306" t="s">
        <v>37</v>
      </c>
      <c r="AM53" s="94" t="s">
        <v>79</v>
      </c>
      <c r="AN53" s="130" t="s">
        <v>237</v>
      </c>
      <c r="AO53" s="130" t="s">
        <v>236</v>
      </c>
      <c r="AP53" s="130"/>
      <c r="AQ53" s="155"/>
      <c r="AR53" s="155"/>
      <c r="AS53" s="155"/>
      <c r="AT53" s="155"/>
      <c r="AU53" s="155"/>
      <c r="AV53" s="154"/>
      <c r="AW53" s="154"/>
      <c r="AX53" s="154"/>
      <c r="AY53" s="154"/>
      <c r="AZ53" s="154"/>
      <c r="BA53" s="154"/>
      <c r="BB53" s="154"/>
      <c r="BC53" s="154"/>
      <c r="BD53" s="94" t="str">
        <f t="shared" si="0"/>
        <v>Greg Raines</v>
      </c>
    </row>
    <row r="54" spans="1:59" ht="15" x14ac:dyDescent="0.2">
      <c r="A54" t="s">
        <v>471</v>
      </c>
      <c r="B54" t="s">
        <v>472</v>
      </c>
      <c r="C54" t="s">
        <v>723</v>
      </c>
      <c r="D54" s="346">
        <v>34088</v>
      </c>
      <c r="E54">
        <v>24</v>
      </c>
      <c r="F54">
        <v>1962</v>
      </c>
      <c r="G54" t="s">
        <v>850</v>
      </c>
      <c r="H54" t="s">
        <v>851</v>
      </c>
      <c r="I54" t="str">
        <f>"0433 306 604"</f>
        <v>0433 306 604</v>
      </c>
      <c r="J54" t="s">
        <v>852</v>
      </c>
      <c r="K54" t="s">
        <v>837</v>
      </c>
      <c r="L54" t="s">
        <v>721</v>
      </c>
      <c r="M54">
        <v>3150</v>
      </c>
      <c r="N54" t="s">
        <v>516</v>
      </c>
      <c r="O54" t="s">
        <v>853</v>
      </c>
      <c r="P54" t="s">
        <v>851</v>
      </c>
      <c r="Q54"/>
      <c r="R54" s="184" t="s">
        <v>856</v>
      </c>
      <c r="S54" s="306" t="s">
        <v>37</v>
      </c>
      <c r="AM54" s="94" t="s">
        <v>92</v>
      </c>
      <c r="AN54" s="130" t="s">
        <v>249</v>
      </c>
      <c r="AO54" s="130" t="s">
        <v>248</v>
      </c>
      <c r="AP54" s="130" t="s">
        <v>70</v>
      </c>
      <c r="AQ54" s="155"/>
      <c r="AR54" s="155"/>
      <c r="AS54" s="155"/>
      <c r="AT54" s="155"/>
      <c r="AU54" s="155"/>
      <c r="AV54" s="154"/>
      <c r="AW54" s="154"/>
      <c r="AX54" s="154"/>
      <c r="AY54" s="154"/>
      <c r="AZ54" s="154"/>
      <c r="BA54" s="154"/>
      <c r="BB54" s="154"/>
      <c r="BC54" s="154"/>
      <c r="BD54" s="94" t="str">
        <f t="shared" si="0"/>
        <v>Troy Williams</v>
      </c>
      <c r="BE54" s="99"/>
    </row>
    <row r="55" spans="1:59" ht="15" x14ac:dyDescent="0.2">
      <c r="A55" t="s">
        <v>935</v>
      </c>
      <c r="B55" t="s">
        <v>936</v>
      </c>
      <c r="C55" t="s">
        <v>723</v>
      </c>
      <c r="D55" s="347" t="str">
        <f>"09/08/1971"</f>
        <v>09/08/1971</v>
      </c>
      <c r="E55">
        <v>46</v>
      </c>
      <c r="F55">
        <v>2576</v>
      </c>
      <c r="G55" t="s">
        <v>937</v>
      </c>
      <c r="H55" t="s">
        <v>938</v>
      </c>
      <c r="I55" t="str">
        <f>"0439 898 668"</f>
        <v>0439 898 668</v>
      </c>
      <c r="J55" t="s">
        <v>939</v>
      </c>
      <c r="K55" t="s">
        <v>940</v>
      </c>
      <c r="L55" t="s">
        <v>721</v>
      </c>
      <c r="M55">
        <v>3057</v>
      </c>
      <c r="N55" t="s">
        <v>516</v>
      </c>
      <c r="O55" t="s">
        <v>941</v>
      </c>
      <c r="P55" t="str">
        <f>"0425 760 701"</f>
        <v>0425 760 701</v>
      </c>
      <c r="Q55"/>
      <c r="R55" s="7" t="s">
        <v>859</v>
      </c>
      <c r="S55" s="339" t="s">
        <v>517</v>
      </c>
      <c r="AM55" s="94" t="s">
        <v>130</v>
      </c>
      <c r="AN55" s="130" t="s">
        <v>176</v>
      </c>
      <c r="AO55" s="130"/>
      <c r="AP55" s="130" t="s">
        <v>70</v>
      </c>
      <c r="AQ55" s="155"/>
      <c r="AR55" s="155"/>
      <c r="AS55" s="155"/>
      <c r="AT55" s="155"/>
      <c r="AU55" s="155"/>
      <c r="AV55" s="154"/>
      <c r="AW55" s="154"/>
      <c r="AX55" s="154"/>
      <c r="AY55" s="154"/>
      <c r="AZ55" s="154"/>
      <c r="BA55" s="154"/>
      <c r="BB55" s="154"/>
      <c r="BC55" s="154"/>
      <c r="BD55" s="94" t="str">
        <f t="shared" si="0"/>
        <v>Steve France</v>
      </c>
      <c r="BE55" s="99"/>
    </row>
    <row r="56" spans="1:59" ht="15" x14ac:dyDescent="0.2">
      <c r="AM56" s="94" t="s">
        <v>80</v>
      </c>
      <c r="AN56" s="130" t="s">
        <v>165</v>
      </c>
      <c r="AO56" s="130" t="s">
        <v>222</v>
      </c>
      <c r="AP56" s="130"/>
      <c r="AQ56" s="155"/>
      <c r="AR56" s="155"/>
      <c r="AS56" s="155"/>
      <c r="AT56" s="155"/>
      <c r="AU56" s="155"/>
      <c r="AV56" s="154"/>
      <c r="AW56" s="154"/>
      <c r="AX56" s="154"/>
      <c r="AY56" s="154"/>
      <c r="AZ56" s="154"/>
      <c r="BA56" s="154"/>
      <c r="BB56" s="154"/>
      <c r="BC56" s="154"/>
      <c r="BD56" s="94" t="str">
        <f t="shared" si="0"/>
        <v>Aaron Little</v>
      </c>
      <c r="BE56" s="99"/>
    </row>
    <row r="57" spans="1:59" ht="15" x14ac:dyDescent="0.2">
      <c r="AM57" s="196" t="s">
        <v>128</v>
      </c>
      <c r="AN57" s="130"/>
      <c r="AO57" s="130"/>
      <c r="AP57" s="130"/>
      <c r="AQ57" s="155"/>
      <c r="AR57" s="155"/>
      <c r="AS57" s="155"/>
      <c r="AT57" s="155"/>
      <c r="AU57" s="155"/>
      <c r="AV57" s="154"/>
      <c r="AW57" s="154"/>
      <c r="AX57" s="154"/>
      <c r="AY57" s="154"/>
      <c r="AZ57" s="154"/>
      <c r="BA57" s="154"/>
      <c r="BB57" s="154"/>
      <c r="BC57" s="154"/>
      <c r="BD57" s="94" t="str">
        <f t="shared" si="0"/>
        <v>Selim Ahmed</v>
      </c>
      <c r="BE57" s="99"/>
    </row>
    <row r="58" spans="1:59" ht="15" x14ac:dyDescent="0.2">
      <c r="R58" s="100"/>
      <c r="AM58" s="196" t="s">
        <v>188</v>
      </c>
      <c r="AN58" s="130"/>
      <c r="AO58" s="130"/>
      <c r="AP58" s="130"/>
      <c r="AQ58" s="155"/>
      <c r="AR58" s="155"/>
      <c r="AS58" s="155"/>
      <c r="AT58" s="155"/>
      <c r="AU58" s="155"/>
      <c r="AV58" s="154"/>
      <c r="AW58" s="154"/>
      <c r="AX58" s="154"/>
      <c r="AY58" s="154"/>
      <c r="AZ58" s="154"/>
      <c r="BA58" s="154"/>
      <c r="BB58" s="154"/>
      <c r="BC58" s="154"/>
      <c r="BD58" s="94" t="str">
        <f t="shared" si="0"/>
        <v>Sam Dermoudy</v>
      </c>
      <c r="BE58" s="99"/>
    </row>
    <row r="59" spans="1:59" s="100" customFormat="1" ht="15" x14ac:dyDescent="0.2">
      <c r="R59" s="7"/>
      <c r="X59" s="99"/>
      <c r="AM59" s="185" t="s">
        <v>299</v>
      </c>
      <c r="AN59" s="130" t="s">
        <v>311</v>
      </c>
      <c r="AO59" s="130" t="s">
        <v>310</v>
      </c>
      <c r="AP59" s="133"/>
      <c r="AQ59" s="133"/>
      <c r="AR59" s="133"/>
      <c r="AS59" s="133"/>
      <c r="AT59" s="133"/>
      <c r="AU59" s="133"/>
      <c r="AV59" s="146"/>
      <c r="AW59" s="146"/>
      <c r="AX59" s="146"/>
      <c r="AY59" s="146"/>
      <c r="AZ59" s="146"/>
      <c r="BA59" s="146"/>
      <c r="BB59" s="146"/>
      <c r="BC59" s="146"/>
      <c r="BD59" s="94" t="str">
        <f>AM59</f>
        <v>Ian Mirtile</v>
      </c>
      <c r="BE59" s="99"/>
      <c r="BG59" s="199"/>
    </row>
    <row r="60" spans="1:59" ht="15" x14ac:dyDescent="0.2">
      <c r="AM60" s="115"/>
      <c r="AN60" s="131"/>
      <c r="AO60" s="131"/>
      <c r="AP60" s="131"/>
      <c r="AQ60" s="131"/>
      <c r="AR60" s="131"/>
      <c r="AS60" s="131"/>
      <c r="AT60" s="131"/>
      <c r="AU60" s="131"/>
      <c r="AX60" s="139"/>
      <c r="BA60" s="139"/>
      <c r="BD60" s="94"/>
      <c r="BE60" s="99"/>
    </row>
    <row r="61" spans="1:59" s="100" customFormat="1" ht="15" x14ac:dyDescent="0.2">
      <c r="R61" s="7"/>
      <c r="X61" s="99"/>
      <c r="AM61" s="116" t="s">
        <v>47</v>
      </c>
      <c r="AN61" s="132"/>
      <c r="AO61" s="132"/>
      <c r="AP61" s="132"/>
      <c r="AQ61" s="132"/>
      <c r="AR61" s="132"/>
      <c r="AS61" s="132"/>
      <c r="AT61" s="132"/>
      <c r="AU61" s="132"/>
      <c r="AV61" s="233" t="s">
        <v>87</v>
      </c>
      <c r="AW61" s="145" t="s">
        <v>87</v>
      </c>
      <c r="AX61" s="145" t="s">
        <v>84</v>
      </c>
      <c r="AY61" s="145"/>
      <c r="AZ61" s="145" t="s">
        <v>108</v>
      </c>
      <c r="BA61" s="145"/>
      <c r="BB61" s="145"/>
      <c r="BC61" s="145"/>
      <c r="BD61" s="94" t="str">
        <f>AM61</f>
        <v>Male U20</v>
      </c>
      <c r="BE61" s="99"/>
      <c r="BG61" s="199"/>
    </row>
    <row r="62" spans="1:59" s="100" customFormat="1" ht="15" x14ac:dyDescent="0.2">
      <c r="R62" s="7"/>
      <c r="X62" s="99"/>
      <c r="AM62" s="117" t="s">
        <v>227</v>
      </c>
      <c r="AN62" s="133" t="s">
        <v>228</v>
      </c>
      <c r="AO62" s="133" t="s">
        <v>229</v>
      </c>
      <c r="AP62" s="133"/>
      <c r="AQ62" s="133"/>
      <c r="AR62" s="133"/>
      <c r="AS62" s="133"/>
      <c r="AT62" s="133"/>
      <c r="AU62" s="133"/>
      <c r="AV62" s="165"/>
      <c r="AW62" s="165"/>
      <c r="AX62" s="165"/>
      <c r="AY62" s="165"/>
      <c r="AZ62" s="165"/>
      <c r="BA62" s="165"/>
      <c r="BB62" s="165"/>
      <c r="BC62" s="165"/>
      <c r="BD62" s="94" t="str">
        <f>AM62</f>
        <v>Ganesha Muthia</v>
      </c>
      <c r="BE62" s="99"/>
      <c r="BG62" s="199"/>
    </row>
    <row r="63" spans="1:59" s="100" customFormat="1" ht="15" x14ac:dyDescent="0.2">
      <c r="R63" s="7"/>
      <c r="X63" s="99"/>
      <c r="AM63" s="221" t="s">
        <v>114</v>
      </c>
      <c r="AN63" s="133" t="s">
        <v>185</v>
      </c>
      <c r="AO63" s="133" t="s">
        <v>143</v>
      </c>
      <c r="AP63" s="133"/>
      <c r="AQ63" s="133"/>
      <c r="AR63" s="130"/>
      <c r="AS63" s="133"/>
      <c r="AT63" s="130"/>
      <c r="AU63" s="133"/>
      <c r="AV63" s="165"/>
      <c r="AW63" s="165"/>
      <c r="AX63" s="146"/>
      <c r="AY63" s="146"/>
      <c r="AZ63" s="146"/>
      <c r="BA63" s="146"/>
      <c r="BB63" s="146"/>
      <c r="BC63" s="146"/>
      <c r="BD63" s="94" t="str">
        <f>AM63</f>
        <v>Nicholas Thomas</v>
      </c>
      <c r="BE63" s="99"/>
      <c r="BG63" s="199"/>
    </row>
    <row r="64" spans="1:59" s="100" customFormat="1" ht="15" x14ac:dyDescent="0.2">
      <c r="R64" s="7"/>
      <c r="X64" s="99"/>
      <c r="AM64" s="118"/>
      <c r="AN64" s="134"/>
      <c r="AO64" s="134"/>
      <c r="AP64" s="134"/>
      <c r="AQ64" s="134"/>
      <c r="AR64" s="134"/>
      <c r="AS64" s="134"/>
      <c r="AT64" s="134"/>
      <c r="AU64" s="134"/>
      <c r="AV64" s="145"/>
      <c r="AW64" s="145"/>
      <c r="AX64" s="145"/>
      <c r="AY64" s="145"/>
      <c r="AZ64" s="145"/>
      <c r="BA64" s="145"/>
      <c r="BB64" s="145"/>
      <c r="BC64" s="145"/>
      <c r="BD64" s="94"/>
      <c r="BE64" s="99"/>
      <c r="BG64" s="199"/>
    </row>
    <row r="65" spans="18:66" s="100" customFormat="1" ht="15" x14ac:dyDescent="0.2">
      <c r="R65" s="7"/>
      <c r="X65" s="99"/>
      <c r="AM65" s="116" t="s">
        <v>48</v>
      </c>
      <c r="AN65" s="132"/>
      <c r="AO65" s="132"/>
      <c r="AP65" s="132"/>
      <c r="AQ65" s="132"/>
      <c r="AR65" s="132"/>
      <c r="AS65" s="132"/>
      <c r="AT65" s="132"/>
      <c r="AU65" s="132"/>
      <c r="AV65" s="233" t="s">
        <v>87</v>
      </c>
      <c r="AW65" s="145" t="s">
        <v>87</v>
      </c>
      <c r="AX65" s="145" t="s">
        <v>108</v>
      </c>
      <c r="AY65" s="145"/>
      <c r="AZ65" s="145" t="s">
        <v>84</v>
      </c>
      <c r="BA65" s="145" t="s">
        <v>116</v>
      </c>
      <c r="BB65" s="145"/>
      <c r="BC65" s="145"/>
      <c r="BD65" s="94" t="str">
        <f t="shared" ref="BD65:BD70" si="1">AM65</f>
        <v>Male U18</v>
      </c>
      <c r="BE65" s="99"/>
      <c r="BG65" s="199"/>
    </row>
    <row r="66" spans="18:66" s="100" customFormat="1" ht="15" x14ac:dyDescent="0.2">
      <c r="R66" s="7"/>
      <c r="X66" s="99"/>
      <c r="AM66" s="222" t="s">
        <v>266</v>
      </c>
      <c r="AN66" s="198" t="s">
        <v>338</v>
      </c>
      <c r="AO66" s="198" t="s">
        <v>317</v>
      </c>
      <c r="AP66" s="135"/>
      <c r="AQ66" s="135"/>
      <c r="AR66" s="135"/>
      <c r="AS66" s="198"/>
      <c r="AT66" s="198"/>
      <c r="AU66" s="135"/>
      <c r="AV66" s="165"/>
      <c r="AW66" s="165"/>
      <c r="AX66" s="147"/>
      <c r="AY66" s="146"/>
      <c r="AZ66" s="146"/>
      <c r="BA66" s="147"/>
      <c r="BB66" s="146"/>
      <c r="BC66" s="146"/>
      <c r="BD66" s="94" t="str">
        <f t="shared" si="1"/>
        <v>Cillian Jansen</v>
      </c>
      <c r="BE66" s="99"/>
      <c r="BG66" s="199"/>
    </row>
    <row r="67" spans="18:66" s="100" customFormat="1" ht="15" x14ac:dyDescent="0.2">
      <c r="R67" s="7"/>
      <c r="X67" s="99"/>
      <c r="AM67" s="227" t="s">
        <v>135</v>
      </c>
      <c r="AN67" s="135" t="s">
        <v>184</v>
      </c>
      <c r="AO67" s="198" t="s">
        <v>357</v>
      </c>
      <c r="AP67" s="135"/>
      <c r="AQ67" s="135"/>
      <c r="AR67" s="135"/>
      <c r="AS67" s="135"/>
      <c r="AT67" s="135"/>
      <c r="AU67" s="135"/>
      <c r="AV67" s="165"/>
      <c r="AW67" s="165"/>
      <c r="AX67" s="147"/>
      <c r="AY67" s="146"/>
      <c r="AZ67" s="146"/>
      <c r="BA67" s="147"/>
      <c r="BB67" s="146"/>
      <c r="BC67" s="146"/>
      <c r="BD67" s="94" t="str">
        <f t="shared" si="1"/>
        <v>Mukund Premkumar</v>
      </c>
      <c r="BE67" s="99"/>
      <c r="BG67" s="199"/>
    </row>
    <row r="68" spans="18:66" s="100" customFormat="1" ht="15" hidden="1" x14ac:dyDescent="0.2">
      <c r="X68" s="99"/>
      <c r="AM68" s="117" t="s">
        <v>100</v>
      </c>
      <c r="AN68" s="133" t="s">
        <v>186</v>
      </c>
      <c r="AO68" s="133" t="s">
        <v>146</v>
      </c>
      <c r="AP68" s="133"/>
      <c r="AQ68" s="133"/>
      <c r="AR68" s="133"/>
      <c r="AS68" s="133"/>
      <c r="AT68" s="133"/>
      <c r="AU68" s="133"/>
      <c r="AV68" s="165"/>
      <c r="AW68" s="165"/>
      <c r="AX68" s="146"/>
      <c r="AY68" s="146"/>
      <c r="AZ68" s="146"/>
      <c r="BA68" s="146"/>
      <c r="BB68" s="146"/>
      <c r="BC68" s="146"/>
      <c r="BD68" s="94" t="str">
        <f t="shared" si="1"/>
        <v>Patrick Ziguras</v>
      </c>
      <c r="BE68" s="99"/>
      <c r="BG68" s="199"/>
    </row>
    <row r="69" spans="18:66" s="100" customFormat="1" ht="15" hidden="1" x14ac:dyDescent="0.2">
      <c r="R69" s="7"/>
      <c r="X69" s="99"/>
      <c r="AM69" s="195" t="s">
        <v>305</v>
      </c>
      <c r="AN69" s="134"/>
      <c r="AO69" s="134"/>
      <c r="AP69" s="134"/>
      <c r="AQ69" s="134"/>
      <c r="AR69" s="134"/>
      <c r="AS69" s="134"/>
      <c r="AT69" s="134"/>
      <c r="AU69" s="134"/>
      <c r="AV69" s="194"/>
      <c r="AW69" s="194"/>
      <c r="AX69" s="145"/>
      <c r="AY69" s="145"/>
      <c r="AZ69" s="145"/>
      <c r="BA69" s="145"/>
      <c r="BB69" s="145"/>
      <c r="BC69" s="145"/>
      <c r="BD69" s="94" t="str">
        <f t="shared" si="1"/>
        <v>Jeremy</v>
      </c>
      <c r="BE69" s="99"/>
      <c r="BG69" s="199"/>
    </row>
    <row r="70" spans="18:66" s="100" customFormat="1" ht="15" x14ac:dyDescent="0.2">
      <c r="X70" s="99"/>
      <c r="AM70" s="223" t="s">
        <v>289</v>
      </c>
      <c r="AN70" s="133"/>
      <c r="AO70" s="133" t="s">
        <v>143</v>
      </c>
      <c r="AP70" s="133"/>
      <c r="AQ70" s="133"/>
      <c r="AR70" s="130"/>
      <c r="AS70" s="133"/>
      <c r="AT70" s="130"/>
      <c r="AU70" s="133"/>
      <c r="AV70" s="165"/>
      <c r="AW70" s="165"/>
      <c r="AX70" s="146"/>
      <c r="AY70" s="146"/>
      <c r="AZ70" s="146"/>
      <c r="BA70" s="146"/>
      <c r="BB70" s="146"/>
      <c r="BC70" s="146"/>
      <c r="BD70" s="94" t="str">
        <f t="shared" si="1"/>
        <v>Nicholas Spiteri</v>
      </c>
      <c r="BE70" s="99"/>
      <c r="BG70" s="199"/>
    </row>
    <row r="71" spans="18:66" s="100" customFormat="1" ht="15" x14ac:dyDescent="0.2">
      <c r="X71" s="99"/>
      <c r="AM71" s="118"/>
      <c r="AN71" s="134"/>
      <c r="AO71" s="134"/>
      <c r="AP71" s="134"/>
      <c r="AQ71" s="134"/>
      <c r="AR71" s="134"/>
      <c r="AS71" s="134"/>
      <c r="AT71" s="134"/>
      <c r="AU71" s="134"/>
      <c r="AV71" s="145"/>
      <c r="AW71" s="145"/>
      <c r="AX71" s="145"/>
      <c r="AY71" s="145"/>
      <c r="AZ71" s="145"/>
      <c r="BA71" s="145"/>
      <c r="BB71" s="145"/>
      <c r="BC71" s="145"/>
      <c r="BD71" s="94"/>
      <c r="BE71" s="99"/>
      <c r="BG71" s="199"/>
    </row>
    <row r="72" spans="18:66" s="100" customFormat="1" ht="15" x14ac:dyDescent="0.2">
      <c r="X72" s="99"/>
      <c r="AM72" s="116" t="s">
        <v>49</v>
      </c>
      <c r="AN72" s="132"/>
      <c r="AO72" s="132"/>
      <c r="AP72" s="132"/>
      <c r="AQ72" s="132"/>
      <c r="AR72" s="132"/>
      <c r="AS72" s="132"/>
      <c r="AT72" s="132"/>
      <c r="AU72" s="132"/>
      <c r="AV72" s="233" t="s">
        <v>87</v>
      </c>
      <c r="AW72" s="145" t="s">
        <v>87</v>
      </c>
      <c r="AX72" s="145" t="s">
        <v>84</v>
      </c>
      <c r="AY72" s="145"/>
      <c r="AZ72" s="145" t="s">
        <v>86</v>
      </c>
      <c r="BA72" s="145" t="s">
        <v>116</v>
      </c>
      <c r="BB72" s="145"/>
      <c r="BC72" s="145"/>
      <c r="BD72" s="94" t="str">
        <f>AM72</f>
        <v>Male U16</v>
      </c>
      <c r="BE72" s="99"/>
      <c r="BG72" s="199"/>
    </row>
    <row r="73" spans="18:66" s="100" customFormat="1" ht="15" x14ac:dyDescent="0.2">
      <c r="X73" s="99"/>
      <c r="AM73" s="223" t="s">
        <v>290</v>
      </c>
      <c r="AN73" s="133"/>
      <c r="AO73" s="130" t="s">
        <v>384</v>
      </c>
      <c r="AP73" s="133"/>
      <c r="AQ73" s="133"/>
      <c r="AR73" s="130"/>
      <c r="AS73" s="133"/>
      <c r="AT73" s="130"/>
      <c r="AU73" s="133"/>
      <c r="AV73" s="165"/>
      <c r="AW73" s="165"/>
      <c r="AX73" s="146"/>
      <c r="AY73" s="146"/>
      <c r="AZ73" s="146"/>
      <c r="BA73" s="146"/>
      <c r="BB73" s="146"/>
      <c r="BC73" s="146"/>
      <c r="BD73" s="94" t="str">
        <f>AM73</f>
        <v>Daniel Spiteri</v>
      </c>
      <c r="BE73" s="99"/>
      <c r="BG73" s="199"/>
    </row>
    <row r="74" spans="18:66" s="100" customFormat="1" ht="15" x14ac:dyDescent="0.2">
      <c r="X74" s="99"/>
      <c r="AM74" s="223" t="s">
        <v>368</v>
      </c>
      <c r="AN74" s="133"/>
      <c r="AO74" s="130" t="s">
        <v>383</v>
      </c>
      <c r="AP74" s="133"/>
      <c r="AQ74" s="133"/>
      <c r="AR74" s="130"/>
      <c r="AS74" s="133"/>
      <c r="AT74" s="130"/>
      <c r="AU74" s="133"/>
      <c r="AV74" s="165"/>
      <c r="AW74" s="165"/>
      <c r="AX74" s="146"/>
      <c r="AY74" s="146"/>
      <c r="AZ74" s="146"/>
      <c r="BA74" s="146"/>
      <c r="BB74" s="146"/>
      <c r="BC74" s="146"/>
      <c r="BD74" s="94" t="str">
        <f>AM74</f>
        <v>Alexander Jackson</v>
      </c>
      <c r="BE74" s="99"/>
      <c r="BG74" s="199"/>
    </row>
    <row r="75" spans="18:66" s="100" customFormat="1" ht="15" x14ac:dyDescent="0.2">
      <c r="X75" s="99"/>
      <c r="AM75" s="118"/>
      <c r="AN75" s="134"/>
      <c r="AO75" s="134"/>
      <c r="AP75" s="134"/>
      <c r="AQ75" s="134"/>
      <c r="AR75" s="134"/>
      <c r="AS75" s="134"/>
      <c r="AT75" s="134"/>
      <c r="AU75" s="134"/>
      <c r="AV75" s="145"/>
      <c r="AW75" s="145"/>
      <c r="AX75" s="145"/>
      <c r="AY75" s="145"/>
      <c r="AZ75" s="145"/>
      <c r="BA75" s="145"/>
      <c r="BB75" s="145"/>
      <c r="BC75" s="145"/>
      <c r="BD75" s="94"/>
      <c r="BE75" s="99"/>
      <c r="BG75" s="199"/>
    </row>
    <row r="76" spans="18:66" s="100" customFormat="1" ht="15" x14ac:dyDescent="0.2">
      <c r="X76" s="99"/>
      <c r="AM76" s="116" t="s">
        <v>50</v>
      </c>
      <c r="AN76" s="132"/>
      <c r="AO76" s="132"/>
      <c r="AP76" s="132"/>
      <c r="AQ76" s="132"/>
      <c r="AR76" s="132"/>
      <c r="AS76" s="132"/>
      <c r="AT76" s="132"/>
      <c r="AU76" s="132"/>
      <c r="AV76" s="233" t="s">
        <v>87</v>
      </c>
      <c r="AW76" s="145" t="s">
        <v>87</v>
      </c>
      <c r="AX76" s="145" t="s">
        <v>86</v>
      </c>
      <c r="AY76" s="145"/>
      <c r="AZ76" s="145" t="s">
        <v>85</v>
      </c>
      <c r="BA76" s="145" t="s">
        <v>116</v>
      </c>
      <c r="BB76" s="145"/>
      <c r="BC76" s="145"/>
      <c r="BD76" s="249" t="str">
        <f>AM76</f>
        <v>Male U14</v>
      </c>
      <c r="BE76" s="99"/>
      <c r="BG76" s="199"/>
    </row>
    <row r="77" spans="18:66" s="100" customFormat="1" ht="15" x14ac:dyDescent="0.2">
      <c r="X77" s="99"/>
      <c r="AM77" s="185" t="s">
        <v>366</v>
      </c>
      <c r="AN77" s="133"/>
      <c r="AO77" s="130" t="s">
        <v>385</v>
      </c>
      <c r="AP77" s="133"/>
      <c r="AQ77" s="133"/>
      <c r="AR77" s="133"/>
      <c r="AS77" s="133"/>
      <c r="AT77" s="133"/>
      <c r="AU77" s="133"/>
      <c r="AV77" s="146"/>
      <c r="AW77" s="146"/>
      <c r="AX77" s="146"/>
      <c r="AY77" s="146"/>
      <c r="AZ77" s="146"/>
      <c r="BA77" s="146"/>
      <c r="BB77" s="146"/>
      <c r="BC77" s="146"/>
      <c r="BD77" s="94" t="str">
        <f>AM77</f>
        <v>Patrick Kelly</v>
      </c>
      <c r="BE77" s="99"/>
      <c r="BG77" s="199"/>
    </row>
    <row r="78" spans="18:66" s="100" customFormat="1" ht="16.5" customHeight="1" x14ac:dyDescent="0.25">
      <c r="X78" s="99"/>
      <c r="AM78" s="52"/>
      <c r="AN78" s="136"/>
      <c r="AO78" s="136"/>
      <c r="AP78" s="136"/>
      <c r="AQ78" s="136"/>
      <c r="AR78" s="136"/>
      <c r="AS78" s="136"/>
      <c r="AT78" s="136"/>
      <c r="AU78" s="136"/>
      <c r="AV78" s="145"/>
      <c r="AW78" s="145"/>
      <c r="AX78" s="148"/>
      <c r="AY78" s="145"/>
      <c r="AZ78" s="145"/>
      <c r="BA78" s="149"/>
      <c r="BB78" s="145"/>
      <c r="BC78" s="145"/>
      <c r="BD78" s="250"/>
      <c r="BE78" s="99"/>
      <c r="BG78" s="199"/>
    </row>
    <row r="79" spans="18:66" s="107" customFormat="1" ht="15" x14ac:dyDescent="0.2">
      <c r="R79" s="100"/>
      <c r="X79" s="293"/>
      <c r="AM79" s="120"/>
      <c r="AN79" s="105"/>
      <c r="AO79" s="105"/>
      <c r="AP79" s="105"/>
      <c r="AQ79" s="105"/>
      <c r="AR79" s="105"/>
      <c r="AS79" s="105"/>
      <c r="AT79" s="105"/>
      <c r="AU79" s="105"/>
      <c r="AV79" s="150" t="str">
        <f t="shared" ref="AV79:BC80" si="2">AV3</f>
        <v>Ballarat</v>
      </c>
      <c r="AW79" s="142" t="str">
        <f t="shared" si="2"/>
        <v>Brimbank</v>
      </c>
      <c r="AX79" s="142" t="str">
        <f t="shared" si="2"/>
        <v>Bundoora</v>
      </c>
      <c r="AY79" s="142" t="str">
        <f t="shared" si="2"/>
        <v>Bendigo</v>
      </c>
      <c r="AZ79" s="142" t="str">
        <f t="shared" si="2"/>
        <v>Albert Park</v>
      </c>
      <c r="BA79" s="142" t="str">
        <f t="shared" si="2"/>
        <v>Warragul</v>
      </c>
      <c r="BB79" s="142" t="str">
        <f t="shared" si="2"/>
        <v>Burnley</v>
      </c>
      <c r="BC79" s="142" t="str">
        <f t="shared" si="2"/>
        <v>Tan</v>
      </c>
      <c r="BD79" s="94"/>
      <c r="BE79" s="106"/>
      <c r="BF79" s="100"/>
      <c r="BG79" s="199"/>
      <c r="BH79" s="100"/>
      <c r="BI79" s="100"/>
      <c r="BJ79" s="100"/>
      <c r="BK79" s="100"/>
      <c r="BL79" s="100"/>
      <c r="BN79" s="100"/>
    </row>
    <row r="80" spans="18:66" s="104" customFormat="1" ht="15" x14ac:dyDescent="0.2">
      <c r="R80" s="100"/>
      <c r="X80" s="103"/>
      <c r="AM80" s="121"/>
      <c r="AN80" s="134"/>
      <c r="AO80" s="134"/>
      <c r="AP80" s="134"/>
      <c r="AQ80" s="134"/>
      <c r="AR80" s="134"/>
      <c r="AS80" s="134"/>
      <c r="AT80" s="134"/>
      <c r="AU80" s="134"/>
      <c r="AV80" s="151">
        <f t="shared" si="2"/>
        <v>41419</v>
      </c>
      <c r="AW80" s="151">
        <f t="shared" si="2"/>
        <v>41433</v>
      </c>
      <c r="AX80" s="151">
        <f t="shared" si="2"/>
        <v>41447</v>
      </c>
      <c r="AY80" s="151">
        <f t="shared" si="2"/>
        <v>41103</v>
      </c>
      <c r="AZ80" s="151">
        <f t="shared" si="2"/>
        <v>41483</v>
      </c>
      <c r="BA80" s="151">
        <f t="shared" si="2"/>
        <v>41496</v>
      </c>
      <c r="BB80" s="151">
        <f t="shared" si="2"/>
        <v>41525</v>
      </c>
      <c r="BC80" s="151">
        <f t="shared" si="2"/>
        <v>41538</v>
      </c>
      <c r="BD80" s="94"/>
      <c r="BE80" s="103"/>
      <c r="BF80" s="100"/>
      <c r="BG80" s="199"/>
      <c r="BH80" s="100"/>
      <c r="BI80" s="100"/>
      <c r="BJ80" s="100"/>
      <c r="BK80" s="100"/>
      <c r="BL80" s="100"/>
      <c r="BN80" s="100"/>
    </row>
    <row r="81" spans="18:65" s="100" customFormat="1" ht="15" x14ac:dyDescent="0.2">
      <c r="X81" s="99"/>
      <c r="AM81" s="116" t="s">
        <v>54</v>
      </c>
      <c r="AN81" s="132"/>
      <c r="AO81" s="132"/>
      <c r="AP81" s="132"/>
      <c r="AQ81" s="132"/>
      <c r="AR81" s="132"/>
      <c r="AS81" s="132"/>
      <c r="AT81" s="132"/>
      <c r="AU81" s="132"/>
      <c r="AV81" s="232" t="s">
        <v>30</v>
      </c>
      <c r="AW81" s="232" t="s">
        <v>51</v>
      </c>
      <c r="AX81" s="232" t="s">
        <v>35</v>
      </c>
      <c r="AY81" s="232" t="s">
        <v>33</v>
      </c>
      <c r="AZ81" s="232" t="s">
        <v>31</v>
      </c>
      <c r="BA81" s="232" t="s">
        <v>115</v>
      </c>
      <c r="BB81" s="232" t="s">
        <v>36</v>
      </c>
      <c r="BC81" s="232" t="s">
        <v>37</v>
      </c>
      <c r="BD81" s="94" t="str">
        <f t="shared" ref="BD81:BD92" si="3">AM81</f>
        <v>Female Open</v>
      </c>
      <c r="BE81" s="99"/>
      <c r="BG81" s="199"/>
    </row>
    <row r="82" spans="18:65" s="108" customFormat="1" ht="15" x14ac:dyDescent="0.2">
      <c r="R82" s="100"/>
      <c r="X82" s="101"/>
      <c r="AM82" s="221" t="s">
        <v>101</v>
      </c>
      <c r="AN82" s="133" t="s">
        <v>190</v>
      </c>
      <c r="AO82" s="133" t="s">
        <v>215</v>
      </c>
      <c r="AP82" s="133" t="s">
        <v>70</v>
      </c>
      <c r="AQ82" s="155"/>
      <c r="AR82" s="155"/>
      <c r="AS82" s="155"/>
      <c r="AT82" s="155"/>
      <c r="AU82" s="155"/>
      <c r="AV82" s="165"/>
      <c r="AW82" s="165"/>
      <c r="AX82" s="146"/>
      <c r="AY82" s="146"/>
      <c r="AZ82" s="146"/>
      <c r="BA82" s="146"/>
      <c r="BB82" s="146"/>
      <c r="BC82" s="146"/>
      <c r="BD82" s="94" t="str">
        <f t="shared" si="3"/>
        <v>Kirsten Jackson</v>
      </c>
      <c r="BE82" s="99"/>
      <c r="BF82" s="100"/>
      <c r="BG82" s="199"/>
      <c r="BH82" s="100"/>
      <c r="BI82" s="100"/>
      <c r="BJ82" s="100"/>
      <c r="BK82" s="100"/>
      <c r="BL82" s="100"/>
    </row>
    <row r="83" spans="18:65" s="100" customFormat="1" ht="15" x14ac:dyDescent="0.2">
      <c r="X83" s="99"/>
      <c r="AM83" s="223" t="s">
        <v>278</v>
      </c>
      <c r="AN83" s="130" t="s">
        <v>337</v>
      </c>
      <c r="AO83" s="130" t="s">
        <v>324</v>
      </c>
      <c r="AP83" s="130" t="s">
        <v>70</v>
      </c>
      <c r="AQ83" s="155"/>
      <c r="AR83" s="155"/>
      <c r="AS83" s="155"/>
      <c r="AT83" s="155"/>
      <c r="AU83" s="155"/>
      <c r="AV83" s="165"/>
      <c r="AW83" s="165"/>
      <c r="AX83" s="146"/>
      <c r="AY83" s="146"/>
      <c r="AZ83" s="146"/>
      <c r="BA83" s="146"/>
      <c r="BB83" s="146"/>
      <c r="BC83" s="146"/>
      <c r="BD83" s="94" t="str">
        <f t="shared" si="3"/>
        <v>Niamh O'Reilley</v>
      </c>
      <c r="BE83" s="99"/>
      <c r="BG83" s="199"/>
      <c r="BM83" s="108"/>
    </row>
    <row r="84" spans="18:65" s="100" customFormat="1" ht="15" x14ac:dyDescent="0.2">
      <c r="X84" s="99"/>
      <c r="AM84" s="224" t="s">
        <v>261</v>
      </c>
      <c r="AN84" s="198" t="s">
        <v>333</v>
      </c>
      <c r="AO84" s="135" t="s">
        <v>242</v>
      </c>
      <c r="AP84" s="198" t="s">
        <v>70</v>
      </c>
      <c r="AQ84" s="155"/>
      <c r="AR84" s="155"/>
      <c r="AS84" s="155"/>
      <c r="AT84" s="155"/>
      <c r="AU84" s="155"/>
      <c r="AV84" s="146"/>
      <c r="AW84" s="146"/>
      <c r="AX84" s="147"/>
      <c r="AY84" s="146"/>
      <c r="AZ84" s="146"/>
      <c r="BA84" s="147"/>
      <c r="BB84" s="146"/>
      <c r="BC84" s="146"/>
      <c r="BD84" s="94" t="str">
        <f t="shared" si="3"/>
        <v>Nickie Scriven</v>
      </c>
      <c r="BE84" s="101"/>
      <c r="BG84" s="199"/>
    </row>
    <row r="85" spans="18:65" s="100" customFormat="1" ht="15" x14ac:dyDescent="0.2">
      <c r="X85" s="99"/>
      <c r="AM85" s="229" t="s">
        <v>55</v>
      </c>
      <c r="AN85" s="133" t="s">
        <v>232</v>
      </c>
      <c r="AO85" s="133" t="s">
        <v>233</v>
      </c>
      <c r="AP85" s="133"/>
      <c r="AQ85" s="155"/>
      <c r="AR85" s="155"/>
      <c r="AS85" s="155"/>
      <c r="AT85" s="155"/>
      <c r="AU85" s="155"/>
      <c r="AV85" s="165"/>
      <c r="AW85" s="165"/>
      <c r="AX85" s="146"/>
      <c r="AY85" s="146"/>
      <c r="AZ85" s="146"/>
      <c r="BA85" s="146"/>
      <c r="BB85" s="146"/>
      <c r="BC85" s="146"/>
      <c r="BD85" s="94" t="str">
        <f t="shared" si="3"/>
        <v>Uma Muthia</v>
      </c>
      <c r="BE85" s="99"/>
      <c r="BG85" s="199"/>
    </row>
    <row r="86" spans="18:65" s="108" customFormat="1" ht="15" x14ac:dyDescent="0.2">
      <c r="R86" s="100"/>
      <c r="X86" s="101"/>
      <c r="AM86" s="117" t="s">
        <v>195</v>
      </c>
      <c r="AN86" s="133" t="s">
        <v>196</v>
      </c>
      <c r="AO86" s="133" t="s">
        <v>254</v>
      </c>
      <c r="AP86" s="133" t="s">
        <v>70</v>
      </c>
      <c r="AQ86" s="155"/>
      <c r="AR86" s="155"/>
      <c r="AS86" s="155"/>
      <c r="AT86" s="155"/>
      <c r="AU86" s="155"/>
      <c r="AV86" s="165"/>
      <c r="AW86" s="165"/>
      <c r="AX86" s="146"/>
      <c r="AY86" s="146"/>
      <c r="AZ86" s="146"/>
      <c r="BA86" s="146"/>
      <c r="BB86" s="146"/>
      <c r="BC86" s="146"/>
      <c r="BD86" s="94" t="str">
        <f t="shared" si="3"/>
        <v>Sally Lim</v>
      </c>
      <c r="BE86" s="99"/>
      <c r="BF86" s="100"/>
      <c r="BG86" s="199"/>
      <c r="BH86" s="100"/>
      <c r="BI86" s="100"/>
      <c r="BJ86" s="100"/>
      <c r="BK86" s="100"/>
      <c r="BL86" s="100"/>
    </row>
    <row r="87" spans="18:65" s="108" customFormat="1" ht="15" x14ac:dyDescent="0.2">
      <c r="R87" s="100"/>
      <c r="X87" s="101"/>
      <c r="AM87" s="221" t="s">
        <v>118</v>
      </c>
      <c r="AN87" s="133" t="s">
        <v>191</v>
      </c>
      <c r="AO87" s="133" t="s">
        <v>223</v>
      </c>
      <c r="AP87" s="133" t="s">
        <v>149</v>
      </c>
      <c r="AQ87" s="155"/>
      <c r="AR87" s="155"/>
      <c r="AS87" s="155"/>
      <c r="AT87" s="155"/>
      <c r="AU87" s="155"/>
      <c r="AV87" s="165"/>
      <c r="AW87" s="165"/>
      <c r="AX87" s="146"/>
      <c r="AY87" s="146"/>
      <c r="AZ87" s="146"/>
      <c r="BA87" s="146"/>
      <c r="BB87" s="146"/>
      <c r="BC87" s="146"/>
      <c r="BD87" s="94" t="str">
        <f t="shared" si="3"/>
        <v>Janice Marston</v>
      </c>
      <c r="BE87" s="99"/>
      <c r="BF87" s="100"/>
      <c r="BG87" s="199"/>
      <c r="BH87" s="100"/>
      <c r="BI87" s="100"/>
      <c r="BJ87" s="100"/>
      <c r="BK87" s="100"/>
      <c r="BL87" s="100"/>
    </row>
    <row r="88" spans="18:65" s="108" customFormat="1" ht="15" x14ac:dyDescent="0.2">
      <c r="R88" s="107"/>
      <c r="X88" s="101"/>
      <c r="AM88" s="223" t="s">
        <v>295</v>
      </c>
      <c r="AN88" s="130" t="s">
        <v>339</v>
      </c>
      <c r="AO88" s="130" t="s">
        <v>318</v>
      </c>
      <c r="AP88" s="133"/>
      <c r="AQ88" s="155"/>
      <c r="AR88" s="155"/>
      <c r="AS88" s="155"/>
      <c r="AT88" s="155"/>
      <c r="AU88" s="155"/>
      <c r="AV88" s="165"/>
      <c r="AW88" s="165"/>
      <c r="AX88" s="146"/>
      <c r="AY88" s="146"/>
      <c r="AZ88" s="146"/>
      <c r="BA88" s="146"/>
      <c r="BB88" s="146"/>
      <c r="BC88" s="146"/>
      <c r="BD88" s="94" t="str">
        <f t="shared" si="3"/>
        <v>Clare Holst</v>
      </c>
      <c r="BE88" s="99"/>
      <c r="BF88" s="100"/>
      <c r="BG88" s="199"/>
      <c r="BH88" s="100"/>
      <c r="BI88" s="100"/>
      <c r="BJ88" s="100"/>
      <c r="BK88" s="100"/>
      <c r="BL88" s="100"/>
    </row>
    <row r="89" spans="18:65" s="100" customFormat="1" ht="15" x14ac:dyDescent="0.2">
      <c r="R89" s="104"/>
      <c r="X89" s="99"/>
      <c r="AM89" s="224" t="s">
        <v>187</v>
      </c>
      <c r="AN89" s="135" t="s">
        <v>218</v>
      </c>
      <c r="AO89" s="135" t="s">
        <v>217</v>
      </c>
      <c r="AP89" s="198" t="s">
        <v>70</v>
      </c>
      <c r="AQ89" s="155"/>
      <c r="AR89" s="155"/>
      <c r="AS89" s="155"/>
      <c r="AT89" s="155"/>
      <c r="AU89" s="155"/>
      <c r="AV89" s="146"/>
      <c r="AW89" s="146"/>
      <c r="AX89" s="147"/>
      <c r="AY89" s="146"/>
      <c r="AZ89" s="146"/>
      <c r="BA89" s="147"/>
      <c r="BB89" s="146"/>
      <c r="BC89" s="146"/>
      <c r="BD89" s="94" t="str">
        <f t="shared" si="3"/>
        <v>Mai Le</v>
      </c>
      <c r="BE89" s="101"/>
      <c r="BG89" s="199"/>
    </row>
    <row r="90" spans="18:65" s="108" customFormat="1" ht="15" x14ac:dyDescent="0.2">
      <c r="R90" s="100"/>
      <c r="X90" s="101"/>
      <c r="AM90" s="223" t="s">
        <v>296</v>
      </c>
      <c r="AN90" s="130" t="s">
        <v>329</v>
      </c>
      <c r="AO90" s="130" t="s">
        <v>328</v>
      </c>
      <c r="AP90" s="130" t="s">
        <v>70</v>
      </c>
      <c r="AQ90" s="155"/>
      <c r="AR90" s="155"/>
      <c r="AS90" s="155"/>
      <c r="AT90" s="155"/>
      <c r="AU90" s="155"/>
      <c r="AV90" s="165"/>
      <c r="AW90" s="165"/>
      <c r="AX90" s="146"/>
      <c r="AY90" s="146"/>
      <c r="AZ90" s="146"/>
      <c r="BA90" s="146"/>
      <c r="BB90" s="146"/>
      <c r="BC90" s="146"/>
      <c r="BD90" s="94" t="str">
        <f t="shared" si="3"/>
        <v>Tracee Rowe</v>
      </c>
      <c r="BE90" s="99"/>
      <c r="BF90" s="100"/>
      <c r="BG90" s="199"/>
      <c r="BH90" s="100"/>
      <c r="BI90" s="100"/>
      <c r="BJ90" s="100"/>
      <c r="BK90" s="100"/>
      <c r="BL90" s="100"/>
    </row>
    <row r="91" spans="18:65" s="100" customFormat="1" ht="15" x14ac:dyDescent="0.2">
      <c r="R91" s="108"/>
      <c r="X91" s="99"/>
      <c r="AM91" s="221" t="s">
        <v>53</v>
      </c>
      <c r="AN91" s="133" t="s">
        <v>197</v>
      </c>
      <c r="AO91" s="133" t="s">
        <v>204</v>
      </c>
      <c r="AP91" s="133" t="s">
        <v>149</v>
      </c>
      <c r="AQ91" s="155"/>
      <c r="AR91" s="155"/>
      <c r="AS91" s="155"/>
      <c r="AT91" s="155"/>
      <c r="AU91" s="155"/>
      <c r="AV91" s="165"/>
      <c r="AW91" s="165"/>
      <c r="AX91" s="146"/>
      <c r="AY91" s="146"/>
      <c r="AZ91" s="146"/>
      <c r="BA91" s="146"/>
      <c r="BB91" s="146"/>
      <c r="BC91" s="146"/>
      <c r="BD91" s="94" t="str">
        <f t="shared" si="3"/>
        <v>Simone Albiston</v>
      </c>
      <c r="BE91" s="99"/>
      <c r="BG91" s="199"/>
      <c r="BM91" s="108"/>
    </row>
    <row r="92" spans="18:65" s="100" customFormat="1" ht="15" x14ac:dyDescent="0.2">
      <c r="X92" s="99"/>
      <c r="AM92" s="223" t="s">
        <v>343</v>
      </c>
      <c r="AN92" s="133"/>
      <c r="AO92" s="130" t="s">
        <v>382</v>
      </c>
      <c r="AP92" s="133"/>
      <c r="AQ92" s="155"/>
      <c r="AR92" s="155"/>
      <c r="AS92" s="155"/>
      <c r="AT92" s="155"/>
      <c r="AU92" s="155"/>
      <c r="AV92" s="165"/>
      <c r="AW92" s="165"/>
      <c r="AX92" s="146"/>
      <c r="AY92" s="146"/>
      <c r="AZ92" s="146"/>
      <c r="BA92" s="146"/>
      <c r="BB92" s="146"/>
      <c r="BC92" s="146"/>
      <c r="BD92" s="94" t="str">
        <f t="shared" si="3"/>
        <v>Emily Stokes</v>
      </c>
      <c r="BE92" s="99"/>
      <c r="BG92" s="199"/>
      <c r="BM92" s="108"/>
    </row>
    <row r="93" spans="18:65" s="100" customFormat="1" ht="15" x14ac:dyDescent="0.2">
      <c r="X93" s="99"/>
      <c r="AM93" s="119"/>
      <c r="AN93" s="135"/>
      <c r="AO93" s="135"/>
      <c r="AP93" s="135"/>
      <c r="AQ93" s="155"/>
      <c r="AR93" s="155"/>
      <c r="AS93" s="155"/>
      <c r="AT93" s="155"/>
      <c r="AU93" s="155"/>
      <c r="AV93" s="146"/>
      <c r="AW93" s="146"/>
      <c r="AX93" s="147"/>
      <c r="AY93" s="146"/>
      <c r="AZ93" s="146"/>
      <c r="BA93" s="147"/>
      <c r="BB93" s="146"/>
      <c r="BC93" s="146"/>
      <c r="BD93" s="94"/>
      <c r="BE93" s="101"/>
      <c r="BG93" s="199"/>
    </row>
    <row r="94" spans="18:65" s="100" customFormat="1" ht="15" x14ac:dyDescent="0.2">
      <c r="X94" s="99"/>
      <c r="AM94" s="229" t="s">
        <v>56</v>
      </c>
      <c r="AN94" s="133" t="s">
        <v>273</v>
      </c>
      <c r="AO94" s="133" t="s">
        <v>226</v>
      </c>
      <c r="AP94" s="133"/>
      <c r="AQ94" s="155"/>
      <c r="AR94" s="155"/>
      <c r="AS94" s="155"/>
      <c r="AT94" s="155"/>
      <c r="AU94" s="155"/>
      <c r="AV94" s="165"/>
      <c r="AW94" s="165"/>
      <c r="AX94" s="146"/>
      <c r="AY94" s="146"/>
      <c r="AZ94" s="146"/>
      <c r="BA94" s="146"/>
      <c r="BB94" s="146"/>
      <c r="BC94" s="146"/>
      <c r="BD94" s="94" t="str">
        <f t="shared" ref="BD94:BD104" si="4">AM94</f>
        <v>Anissa Muthia</v>
      </c>
      <c r="BE94" s="99"/>
      <c r="BG94" s="199"/>
    </row>
    <row r="95" spans="18:65" s="100" customFormat="1" ht="15" x14ac:dyDescent="0.2">
      <c r="R95" s="108"/>
      <c r="X95" s="99"/>
      <c r="AM95" s="229" t="s">
        <v>72</v>
      </c>
      <c r="AN95" s="133" t="s">
        <v>200</v>
      </c>
      <c r="AO95" s="133" t="s">
        <v>147</v>
      </c>
      <c r="AP95" s="133"/>
      <c r="AQ95" s="133"/>
      <c r="AR95" s="133"/>
      <c r="AS95" s="133"/>
      <c r="AT95" s="133"/>
      <c r="AU95" s="133"/>
      <c r="AV95" s="165"/>
      <c r="AW95" s="165"/>
      <c r="AX95" s="146"/>
      <c r="AY95" s="146"/>
      <c r="AZ95" s="146"/>
      <c r="BA95" s="146"/>
      <c r="BB95" s="146"/>
      <c r="BC95" s="146"/>
      <c r="BD95" s="94" t="str">
        <f t="shared" si="4"/>
        <v>Georgia Brock</v>
      </c>
      <c r="BE95" s="99"/>
      <c r="BG95" s="199"/>
    </row>
    <row r="96" spans="18:65" s="100" customFormat="1" ht="15" x14ac:dyDescent="0.2">
      <c r="R96" s="108"/>
      <c r="X96" s="99"/>
      <c r="AM96" s="229" t="s">
        <v>110</v>
      </c>
      <c r="AN96" s="133" t="s">
        <v>201</v>
      </c>
      <c r="AO96" s="133" t="s">
        <v>144</v>
      </c>
      <c r="AP96" s="133"/>
      <c r="AQ96" s="133"/>
      <c r="AR96" s="133"/>
      <c r="AS96" s="133"/>
      <c r="AT96" s="133"/>
      <c r="AU96" s="133"/>
      <c r="AV96" s="165"/>
      <c r="AW96" s="165"/>
      <c r="AX96" s="146"/>
      <c r="AY96" s="146"/>
      <c r="AZ96" s="146"/>
      <c r="BA96" s="146"/>
      <c r="BB96" s="146"/>
      <c r="BC96" s="146"/>
      <c r="BD96" s="94" t="str">
        <f t="shared" si="4"/>
        <v>May Teh Yong</v>
      </c>
      <c r="BE96" s="99"/>
      <c r="BG96" s="199"/>
    </row>
    <row r="97" spans="18:65" s="108" customFormat="1" ht="15" x14ac:dyDescent="0.2">
      <c r="X97" s="101"/>
      <c r="AM97" s="229" t="s">
        <v>109</v>
      </c>
      <c r="AN97" s="133" t="s">
        <v>194</v>
      </c>
      <c r="AO97" s="133"/>
      <c r="AP97" s="133"/>
      <c r="AQ97" s="155"/>
      <c r="AR97" s="155"/>
      <c r="AS97" s="155"/>
      <c r="AT97" s="155"/>
      <c r="AU97" s="155"/>
      <c r="AV97" s="165"/>
      <c r="AW97" s="165"/>
      <c r="AX97" s="146"/>
      <c r="AY97" s="146"/>
      <c r="AZ97" s="146"/>
      <c r="BA97" s="146"/>
      <c r="BB97" s="146"/>
      <c r="BC97" s="146"/>
      <c r="BD97" s="94" t="str">
        <f t="shared" si="4"/>
        <v>Julia Orzeszko</v>
      </c>
      <c r="BE97" s="99"/>
      <c r="BF97" s="100"/>
      <c r="BG97" s="199"/>
      <c r="BH97" s="100"/>
      <c r="BI97" s="100"/>
      <c r="BJ97" s="100"/>
      <c r="BK97" s="100"/>
      <c r="BL97" s="100"/>
    </row>
    <row r="98" spans="18:65" s="108" customFormat="1" ht="15" x14ac:dyDescent="0.2">
      <c r="R98" s="100"/>
      <c r="X98" s="101"/>
      <c r="AM98" s="229" t="s">
        <v>262</v>
      </c>
      <c r="AN98" s="133" t="s">
        <v>192</v>
      </c>
      <c r="AO98" s="133" t="s">
        <v>221</v>
      </c>
      <c r="AP98" s="133"/>
      <c r="AQ98" s="155"/>
      <c r="AR98" s="155"/>
      <c r="AS98" s="155"/>
      <c r="AT98" s="155"/>
      <c r="AU98" s="155"/>
      <c r="AV98" s="165"/>
      <c r="AW98" s="165"/>
      <c r="AX98" s="146"/>
      <c r="AY98" s="146"/>
      <c r="AZ98" s="146"/>
      <c r="BA98" s="146"/>
      <c r="BB98" s="146"/>
      <c r="BC98" s="146"/>
      <c r="BD98" s="94" t="str">
        <f t="shared" si="4"/>
        <v>Juanita Kallergis</v>
      </c>
      <c r="BE98" s="99"/>
      <c r="BF98" s="100"/>
      <c r="BG98" s="199"/>
      <c r="BH98" s="100"/>
      <c r="BI98" s="100"/>
      <c r="BJ98" s="100"/>
      <c r="BK98" s="100"/>
      <c r="BL98" s="100"/>
    </row>
    <row r="99" spans="18:65" s="108" customFormat="1" ht="15" x14ac:dyDescent="0.2">
      <c r="X99" s="101"/>
      <c r="AM99" s="229" t="s">
        <v>123</v>
      </c>
      <c r="AN99" s="133" t="s">
        <v>193</v>
      </c>
      <c r="AO99" s="133"/>
      <c r="AP99" s="133" t="s">
        <v>149</v>
      </c>
      <c r="AQ99" s="155"/>
      <c r="AR99" s="155"/>
      <c r="AS99" s="155"/>
      <c r="AT99" s="155"/>
      <c r="AU99" s="155"/>
      <c r="AV99" s="165"/>
      <c r="AW99" s="165"/>
      <c r="AX99" s="146"/>
      <c r="AY99" s="146"/>
      <c r="AZ99" s="146"/>
      <c r="BA99" s="146"/>
      <c r="BB99" s="146"/>
      <c r="BC99" s="146"/>
      <c r="BD99" s="94" t="str">
        <f t="shared" si="4"/>
        <v>Martine Parsons</v>
      </c>
      <c r="BE99" s="99"/>
      <c r="BF99" s="100"/>
      <c r="BG99" s="199"/>
      <c r="BH99" s="100"/>
      <c r="BI99" s="100"/>
      <c r="BJ99" s="100"/>
      <c r="BK99" s="100"/>
      <c r="BL99" s="100"/>
    </row>
    <row r="100" spans="18:65" s="108" customFormat="1" ht="15" x14ac:dyDescent="0.2">
      <c r="R100" s="100"/>
      <c r="X100" s="101"/>
      <c r="AM100" s="117" t="s">
        <v>129</v>
      </c>
      <c r="AN100" s="133" t="s">
        <v>260</v>
      </c>
      <c r="AO100" s="133" t="s">
        <v>259</v>
      </c>
      <c r="AP100" s="133"/>
      <c r="AQ100" s="155"/>
      <c r="AR100" s="155"/>
      <c r="AS100" s="155"/>
      <c r="AT100" s="155"/>
      <c r="AU100" s="155"/>
      <c r="AV100" s="165"/>
      <c r="AW100" s="165"/>
      <c r="AX100" s="146"/>
      <c r="AY100" s="146"/>
      <c r="AZ100" s="146"/>
      <c r="BA100" s="146"/>
      <c r="BB100" s="146"/>
      <c r="BC100" s="146"/>
      <c r="BD100" s="94" t="str">
        <f t="shared" si="4"/>
        <v>Madeleine Pape</v>
      </c>
      <c r="BE100" s="99"/>
      <c r="BF100" s="100"/>
      <c r="BG100" s="199"/>
      <c r="BH100" s="100"/>
      <c r="BI100" s="100"/>
      <c r="BJ100" s="100"/>
      <c r="BK100" s="100"/>
      <c r="BL100" s="100"/>
    </row>
    <row r="101" spans="18:65" s="108" customFormat="1" ht="15" x14ac:dyDescent="0.2">
      <c r="R101" s="100"/>
      <c r="X101" s="101"/>
      <c r="AM101" s="117" t="s">
        <v>124</v>
      </c>
      <c r="AN101" s="133" t="s">
        <v>199</v>
      </c>
      <c r="AO101" s="133"/>
      <c r="AP101" s="133"/>
      <c r="AQ101" s="155"/>
      <c r="AR101" s="155"/>
      <c r="AS101" s="155"/>
      <c r="AT101" s="155"/>
      <c r="AU101" s="155"/>
      <c r="AV101" s="165"/>
      <c r="AW101" s="165"/>
      <c r="AX101" s="146"/>
      <c r="AY101" s="146"/>
      <c r="AZ101" s="146"/>
      <c r="BA101" s="146"/>
      <c r="BB101" s="146"/>
      <c r="BC101" s="146"/>
      <c r="BD101" s="94" t="str">
        <f t="shared" si="4"/>
        <v>Emma Bellenger</v>
      </c>
      <c r="BE101" s="99"/>
      <c r="BF101" s="100"/>
      <c r="BG101" s="199"/>
      <c r="BH101" s="100"/>
      <c r="BI101" s="100"/>
      <c r="BJ101" s="100"/>
      <c r="BK101" s="100"/>
      <c r="BL101" s="100"/>
    </row>
    <row r="102" spans="18:65" s="100" customFormat="1" ht="15" x14ac:dyDescent="0.2">
      <c r="X102" s="99"/>
      <c r="AM102" s="117" t="s">
        <v>83</v>
      </c>
      <c r="AN102" s="133" t="s">
        <v>244</v>
      </c>
      <c r="AO102" s="133" t="s">
        <v>148</v>
      </c>
      <c r="AP102" s="133"/>
      <c r="AQ102" s="133"/>
      <c r="AR102" s="133"/>
      <c r="AS102" s="133"/>
      <c r="AT102" s="133"/>
      <c r="AU102" s="133"/>
      <c r="AV102" s="165"/>
      <c r="AW102" s="165"/>
      <c r="AX102" s="146"/>
      <c r="AY102" s="146"/>
      <c r="AZ102" s="146"/>
      <c r="BA102" s="146"/>
      <c r="BB102" s="146"/>
      <c r="BC102" s="146"/>
      <c r="BD102" s="94" t="str">
        <f t="shared" si="4"/>
        <v>Dani Trowell</v>
      </c>
      <c r="BE102" s="99"/>
      <c r="BG102" s="199"/>
    </row>
    <row r="103" spans="18:65" s="108" customFormat="1" ht="15" x14ac:dyDescent="0.2">
      <c r="R103" s="100"/>
      <c r="X103" s="101"/>
      <c r="AM103" s="117" t="s">
        <v>104</v>
      </c>
      <c r="AN103" s="133" t="s">
        <v>219</v>
      </c>
      <c r="AO103" s="133" t="s">
        <v>207</v>
      </c>
      <c r="AP103" s="133"/>
      <c r="AQ103" s="155"/>
      <c r="AR103" s="155"/>
      <c r="AS103" s="155"/>
      <c r="AT103" s="155"/>
      <c r="AU103" s="155"/>
      <c r="AV103" s="165"/>
      <c r="AW103" s="165"/>
      <c r="AX103" s="146"/>
      <c r="AY103" s="146"/>
      <c r="AZ103" s="146"/>
      <c r="BA103" s="146"/>
      <c r="BB103" s="146"/>
      <c r="BC103" s="146"/>
      <c r="BD103" s="94" t="str">
        <f t="shared" si="4"/>
        <v>Bree Bartlett</v>
      </c>
      <c r="BE103" s="99"/>
      <c r="BF103" s="100"/>
      <c r="BG103" s="199"/>
      <c r="BH103" s="100"/>
      <c r="BI103" s="100"/>
      <c r="BJ103" s="100"/>
      <c r="BK103" s="100"/>
      <c r="BL103" s="100"/>
    </row>
    <row r="104" spans="18:65" s="100" customFormat="1" ht="15" x14ac:dyDescent="0.2">
      <c r="X104" s="99"/>
      <c r="AM104" s="221" t="s">
        <v>103</v>
      </c>
      <c r="AN104" s="133" t="s">
        <v>198</v>
      </c>
      <c r="AO104" s="133" t="s">
        <v>225</v>
      </c>
      <c r="AP104" s="133" t="s">
        <v>150</v>
      </c>
      <c r="AQ104" s="155"/>
      <c r="AR104" s="155"/>
      <c r="AS104" s="155"/>
      <c r="AT104" s="155"/>
      <c r="AU104" s="155"/>
      <c r="AV104" s="165"/>
      <c r="AW104" s="165"/>
      <c r="AX104" s="146"/>
      <c r="AY104" s="146"/>
      <c r="AZ104" s="146"/>
      <c r="BA104" s="146"/>
      <c r="BB104" s="146"/>
      <c r="BC104" s="146"/>
      <c r="BD104" s="94" t="str">
        <f t="shared" si="4"/>
        <v>Jo Molnar</v>
      </c>
      <c r="BE104" s="99"/>
      <c r="BG104" s="199"/>
      <c r="BM104" s="108"/>
    </row>
    <row r="105" spans="18:65" s="100" customFormat="1" ht="15" x14ac:dyDescent="0.2">
      <c r="X105" s="99"/>
      <c r="AM105" s="118"/>
      <c r="AN105" s="134"/>
      <c r="AO105" s="134"/>
      <c r="AP105" s="134"/>
      <c r="AQ105" s="134"/>
      <c r="AR105" s="134"/>
      <c r="AS105" s="134"/>
      <c r="AT105" s="134"/>
      <c r="AU105" s="134"/>
      <c r="AV105" s="145"/>
      <c r="AW105" s="145"/>
      <c r="AX105" s="145"/>
      <c r="AY105" s="145"/>
      <c r="AZ105" s="145"/>
      <c r="BA105" s="145"/>
      <c r="BB105" s="145"/>
      <c r="BC105" s="145"/>
      <c r="BD105" s="94"/>
      <c r="BE105" s="99"/>
      <c r="BG105" s="199"/>
    </row>
    <row r="106" spans="18:65" s="100" customFormat="1" ht="15" x14ac:dyDescent="0.2">
      <c r="R106" s="108"/>
      <c r="X106" s="99"/>
      <c r="AM106" s="116" t="s">
        <v>68</v>
      </c>
      <c r="AN106" s="132"/>
      <c r="AO106" s="132"/>
      <c r="AP106" s="132"/>
      <c r="AQ106" s="132"/>
      <c r="AR106" s="132"/>
      <c r="AS106" s="132"/>
      <c r="AT106" s="132"/>
      <c r="AU106" s="132"/>
      <c r="AV106" s="233" t="s">
        <v>87</v>
      </c>
      <c r="AW106" s="145" t="s">
        <v>87</v>
      </c>
      <c r="AX106" s="145" t="s">
        <v>86</v>
      </c>
      <c r="AY106" s="145"/>
      <c r="AZ106" s="145" t="s">
        <v>84</v>
      </c>
      <c r="BA106" s="145"/>
      <c r="BB106" s="145"/>
      <c r="BC106" s="145"/>
      <c r="BD106" s="94" t="str">
        <f>AM106</f>
        <v>Female U20</v>
      </c>
      <c r="BE106" s="99"/>
      <c r="BG106" s="199"/>
    </row>
    <row r="107" spans="18:65" s="100" customFormat="1" ht="15" x14ac:dyDescent="0.2">
      <c r="R107" s="108"/>
      <c r="X107" s="99"/>
      <c r="AM107" s="229" t="s">
        <v>59</v>
      </c>
      <c r="AN107" s="133" t="s">
        <v>231</v>
      </c>
      <c r="AO107" s="133" t="s">
        <v>230</v>
      </c>
      <c r="AP107" s="133"/>
      <c r="AQ107" s="133"/>
      <c r="AR107" s="133"/>
      <c r="AS107" s="133"/>
      <c r="AT107" s="133"/>
      <c r="AU107" s="133"/>
      <c r="AV107" s="146"/>
      <c r="AW107" s="146"/>
      <c r="AX107" s="146"/>
      <c r="AY107" s="146"/>
      <c r="AZ107" s="146"/>
      <c r="BA107" s="146"/>
      <c r="BB107" s="146"/>
      <c r="BC107" s="146"/>
      <c r="BD107" s="94" t="str">
        <f>AM107</f>
        <v>Seema Muthia</v>
      </c>
      <c r="BE107" s="99"/>
      <c r="BG107" s="199"/>
    </row>
    <row r="108" spans="18:65" s="100" customFormat="1" ht="15" x14ac:dyDescent="0.2">
      <c r="R108" s="108"/>
      <c r="X108" s="99"/>
      <c r="AM108" s="230" t="s">
        <v>122</v>
      </c>
      <c r="AN108" s="134" t="s">
        <v>202</v>
      </c>
      <c r="AO108" s="134" t="s">
        <v>142</v>
      </c>
      <c r="AP108" s="134"/>
      <c r="AQ108" s="134"/>
      <c r="AR108" s="134"/>
      <c r="AS108" s="134"/>
      <c r="AT108" s="134"/>
      <c r="AU108" s="134"/>
      <c r="AV108" s="145"/>
      <c r="AW108" s="145"/>
      <c r="AX108" s="145"/>
      <c r="AY108" s="145"/>
      <c r="AZ108" s="145"/>
      <c r="BA108" s="145"/>
      <c r="BB108" s="145"/>
      <c r="BC108" s="145"/>
      <c r="BD108" s="94" t="str">
        <f>AM108</f>
        <v>Vanessa Diep</v>
      </c>
      <c r="BE108" s="99"/>
      <c r="BG108" s="199"/>
    </row>
    <row r="109" spans="18:65" s="100" customFormat="1" ht="15" x14ac:dyDescent="0.2">
      <c r="R109" s="108"/>
      <c r="X109" s="99"/>
      <c r="AM109" s="118"/>
      <c r="AN109" s="134"/>
      <c r="AO109" s="134"/>
      <c r="AP109" s="134"/>
      <c r="AQ109" s="134"/>
      <c r="AR109" s="134"/>
      <c r="AS109" s="134"/>
      <c r="AT109" s="134"/>
      <c r="AU109" s="134"/>
      <c r="AV109" s="145"/>
      <c r="AW109" s="145"/>
      <c r="AX109" s="145"/>
      <c r="AY109" s="145"/>
      <c r="AZ109" s="145"/>
      <c r="BA109" s="145"/>
      <c r="BB109" s="145"/>
      <c r="BC109" s="145"/>
      <c r="BD109" s="94"/>
      <c r="BE109" s="99"/>
      <c r="BG109" s="199"/>
    </row>
    <row r="110" spans="18:65" s="100" customFormat="1" ht="15" x14ac:dyDescent="0.2">
      <c r="R110" s="108"/>
      <c r="X110" s="99"/>
      <c r="AM110" s="116" t="s">
        <v>57</v>
      </c>
      <c r="AN110" s="132"/>
      <c r="AO110" s="132"/>
      <c r="AP110" s="132"/>
      <c r="AQ110" s="132"/>
      <c r="AR110" s="132"/>
      <c r="AS110" s="132"/>
      <c r="AT110" s="132"/>
      <c r="AU110" s="132"/>
      <c r="AV110" s="233" t="s">
        <v>87</v>
      </c>
      <c r="AW110" s="145" t="s">
        <v>87</v>
      </c>
      <c r="AX110" s="145" t="s">
        <v>84</v>
      </c>
      <c r="AY110" s="145"/>
      <c r="AZ110" s="145" t="s">
        <v>86</v>
      </c>
      <c r="BA110" s="145" t="s">
        <v>116</v>
      </c>
      <c r="BB110" s="145"/>
      <c r="BC110" s="145"/>
      <c r="BD110" s="94" t="str">
        <f>AM110</f>
        <v>Female U18</v>
      </c>
      <c r="BE110" s="99"/>
      <c r="BG110" s="199"/>
    </row>
    <row r="111" spans="18:65" s="100" customFormat="1" ht="15" x14ac:dyDescent="0.2">
      <c r="X111" s="99"/>
      <c r="AM111" s="221" t="s">
        <v>69</v>
      </c>
      <c r="AN111" s="130" t="s">
        <v>341</v>
      </c>
      <c r="AO111" s="133" t="s">
        <v>203</v>
      </c>
      <c r="AP111" s="133"/>
      <c r="AQ111" s="133"/>
      <c r="AR111" s="133"/>
      <c r="AS111" s="133"/>
      <c r="AT111" s="133"/>
      <c r="AU111" s="133"/>
      <c r="AV111" s="146"/>
      <c r="AW111" s="146"/>
      <c r="AX111" s="146"/>
      <c r="AY111" s="146"/>
      <c r="AZ111" s="146"/>
      <c r="BA111" s="146"/>
      <c r="BB111" s="146"/>
      <c r="BC111" s="146"/>
      <c r="BD111" s="94" t="str">
        <f>AM111</f>
        <v>Bridget Albiston</v>
      </c>
      <c r="BE111" s="99"/>
      <c r="BG111" s="199"/>
    </row>
    <row r="112" spans="18:65" s="100" customFormat="1" ht="15" x14ac:dyDescent="0.2">
      <c r="R112" s="108"/>
      <c r="X112" s="99"/>
      <c r="AM112" s="118"/>
      <c r="AN112" s="134"/>
      <c r="AO112" s="134"/>
      <c r="AP112" s="134"/>
      <c r="AQ112" s="134"/>
      <c r="AR112" s="134"/>
      <c r="AS112" s="134"/>
      <c r="AT112" s="134"/>
      <c r="AU112" s="134"/>
      <c r="AV112" s="145"/>
      <c r="AW112" s="145"/>
      <c r="AX112" s="145"/>
      <c r="AY112" s="145"/>
      <c r="AZ112" s="145"/>
      <c r="BA112" s="145"/>
      <c r="BB112" s="145"/>
      <c r="BC112" s="145"/>
      <c r="BD112" s="94"/>
      <c r="BE112" s="99"/>
      <c r="BG112" s="199"/>
    </row>
    <row r="113" spans="18:59" s="100" customFormat="1" ht="15" x14ac:dyDescent="0.2">
      <c r="X113" s="99"/>
      <c r="AM113" s="116" t="s">
        <v>58</v>
      </c>
      <c r="AN113" s="132"/>
      <c r="AO113" s="132"/>
      <c r="AP113" s="132"/>
      <c r="AQ113" s="132"/>
      <c r="AR113" s="132"/>
      <c r="AS113" s="132"/>
      <c r="AT113" s="132"/>
      <c r="AU113" s="132"/>
      <c r="AV113" s="233" t="s">
        <v>87</v>
      </c>
      <c r="AW113" s="145" t="s">
        <v>87</v>
      </c>
      <c r="AX113" s="145" t="s">
        <v>84</v>
      </c>
      <c r="AY113" s="145"/>
      <c r="AZ113" s="145" t="s">
        <v>86</v>
      </c>
      <c r="BA113" s="145"/>
      <c r="BB113" s="145"/>
      <c r="BC113" s="145"/>
      <c r="BD113" s="94" t="str">
        <f>AM113</f>
        <v>Female U16</v>
      </c>
      <c r="BE113" s="99"/>
      <c r="BG113" s="199"/>
    </row>
    <row r="114" spans="18:59" s="100" customFormat="1" ht="15" x14ac:dyDescent="0.2">
      <c r="X114" s="99"/>
      <c r="AM114" s="118"/>
      <c r="AN114" s="134"/>
      <c r="AO114" s="134"/>
      <c r="AP114" s="134"/>
      <c r="AQ114" s="134"/>
      <c r="AR114" s="134"/>
      <c r="AS114" s="134"/>
      <c r="AT114" s="134"/>
      <c r="AU114" s="134"/>
      <c r="AV114" s="145"/>
      <c r="AW114" s="145"/>
      <c r="AX114" s="145"/>
      <c r="AY114" s="145"/>
      <c r="AZ114" s="145"/>
      <c r="BA114" s="145"/>
      <c r="BB114" s="145"/>
      <c r="BC114" s="145"/>
      <c r="BD114" s="94"/>
      <c r="BE114" s="99"/>
      <c r="BG114" s="199"/>
    </row>
    <row r="115" spans="18:59" s="100" customFormat="1" ht="15" x14ac:dyDescent="0.2">
      <c r="X115" s="99"/>
      <c r="AM115" s="116" t="s">
        <v>62</v>
      </c>
      <c r="AN115" s="132"/>
      <c r="AO115" s="132"/>
      <c r="AP115" s="132"/>
      <c r="AQ115" s="132"/>
      <c r="AR115" s="132"/>
      <c r="AS115" s="132"/>
      <c r="AT115" s="132"/>
      <c r="AU115" s="132"/>
      <c r="AV115" s="145"/>
      <c r="AW115" s="145"/>
      <c r="AX115" s="145"/>
      <c r="AY115" s="145"/>
      <c r="AZ115" s="145"/>
      <c r="BA115" s="145"/>
      <c r="BB115" s="145"/>
      <c r="BC115" s="145"/>
      <c r="BD115" s="94" t="str">
        <f>AM115</f>
        <v>Female U14</v>
      </c>
      <c r="BE115" s="99"/>
      <c r="BG115" s="199"/>
    </row>
    <row r="116" spans="18:59" s="100" customFormat="1" ht="15" x14ac:dyDescent="0.2">
      <c r="X116" s="99"/>
      <c r="AM116" s="225" t="s">
        <v>292</v>
      </c>
      <c r="AN116" s="198" t="s">
        <v>331</v>
      </c>
      <c r="AO116" s="198" t="s">
        <v>323</v>
      </c>
      <c r="AP116" s="226"/>
      <c r="AQ116" s="155"/>
      <c r="AR116" s="155"/>
      <c r="AS116" s="155"/>
      <c r="AT116" s="155"/>
      <c r="AU116" s="155"/>
      <c r="AV116" s="146"/>
      <c r="AW116" s="146"/>
      <c r="AX116" s="147"/>
      <c r="AY116" s="146"/>
      <c r="AZ116" s="146"/>
      <c r="BA116" s="147"/>
      <c r="BB116" s="146"/>
      <c r="BC116" s="146"/>
      <c r="BD116" s="102"/>
      <c r="BE116" s="99"/>
      <c r="BG116" s="199"/>
    </row>
    <row r="117" spans="18:59" ht="15" x14ac:dyDescent="0.2">
      <c r="R117" s="100"/>
      <c r="AM117" s="28"/>
      <c r="AN117" s="42"/>
      <c r="AO117" s="42"/>
      <c r="AP117" s="42"/>
      <c r="AQ117" s="42"/>
      <c r="AR117" s="42"/>
      <c r="AS117" s="42"/>
      <c r="AT117" s="42"/>
      <c r="AW117" s="42"/>
      <c r="AX117" s="42"/>
      <c r="BA117" s="42"/>
      <c r="BD117" s="28"/>
      <c r="BE117" s="28"/>
    </row>
    <row r="118" spans="18:59" ht="15" x14ac:dyDescent="0.2">
      <c r="R118" s="100"/>
    </row>
    <row r="119" spans="18:59" ht="15" x14ac:dyDescent="0.2">
      <c r="R119" s="100"/>
    </row>
    <row r="120" spans="18:59" ht="15" x14ac:dyDescent="0.2">
      <c r="R120" s="100"/>
    </row>
    <row r="121" spans="18:59" ht="15" x14ac:dyDescent="0.2">
      <c r="R121" s="100"/>
    </row>
    <row r="122" spans="18:59" ht="15" x14ac:dyDescent="0.2">
      <c r="R122" s="100"/>
    </row>
    <row r="123" spans="18:59" ht="15" x14ac:dyDescent="0.2">
      <c r="R123" s="100"/>
      <c r="AY123" s="152"/>
    </row>
    <row r="124" spans="18:59" ht="15" x14ac:dyDescent="0.2">
      <c r="R124" s="100"/>
    </row>
    <row r="125" spans="18:59" ht="15" x14ac:dyDescent="0.2">
      <c r="R125" s="100"/>
    </row>
    <row r="129" ht="12" customHeight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</sheetData>
  <phoneticPr fontId="12" type="noConversion"/>
  <pageMargins left="0.74803149606299213" right="0.47244094488188981" top="0.70866141732283472" bottom="0.35433070866141736" header="0.51181102362204722" footer="0.51181102362204722"/>
  <pageSetup paperSize="9" scale="60" orientation="landscape" horizontalDpi="4294967293" verticalDpi="4294967292" r:id="rId1"/>
  <headerFooter alignWithMargins="0"/>
  <rowBreaks count="1" manualBreakCount="1">
    <brk id="78" min="38" max="5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T81"/>
  <sheetViews>
    <sheetView showGridLines="0" workbookViewId="0"/>
  </sheetViews>
  <sheetFormatPr defaultRowHeight="12.75" x14ac:dyDescent="0.2"/>
  <cols>
    <col min="1" max="1" width="18.140625" customWidth="1"/>
    <col min="2" max="2" width="7.7109375" style="234" customWidth="1"/>
    <col min="3" max="3" width="8.85546875" style="234" customWidth="1"/>
    <col min="4" max="4" width="14.42578125" customWidth="1"/>
    <col min="5" max="5" width="18.42578125" customWidth="1"/>
    <col min="6" max="7" width="7.42578125" style="234" customWidth="1"/>
    <col min="8" max="8" width="11.42578125" customWidth="1"/>
    <col min="9" max="9" width="16.140625" customWidth="1"/>
    <col min="10" max="10" width="6.85546875" style="234" customWidth="1"/>
    <col min="11" max="11" width="5.42578125" customWidth="1"/>
    <col min="12" max="12" width="17" customWidth="1"/>
    <col min="14" max="14" width="5.42578125" customWidth="1"/>
    <col min="15" max="15" width="15.7109375" customWidth="1"/>
    <col min="17" max="17" width="5.5703125" customWidth="1"/>
    <col min="257" max="257" width="18.140625" customWidth="1"/>
    <col min="258" max="258" width="7.7109375" customWidth="1"/>
    <col min="259" max="259" width="8.85546875" customWidth="1"/>
    <col min="260" max="260" width="14.42578125" customWidth="1"/>
    <col min="261" max="261" width="18.42578125" customWidth="1"/>
    <col min="262" max="263" width="7.42578125" customWidth="1"/>
    <col min="264" max="264" width="11.42578125" customWidth="1"/>
    <col min="265" max="265" width="16.140625" customWidth="1"/>
    <col min="266" max="266" width="6.85546875" customWidth="1"/>
    <col min="267" max="267" width="5.42578125" customWidth="1"/>
    <col min="268" max="268" width="17" customWidth="1"/>
    <col min="270" max="270" width="5.42578125" customWidth="1"/>
    <col min="271" max="271" width="15.7109375" customWidth="1"/>
    <col min="273" max="273" width="5.5703125" customWidth="1"/>
    <col min="513" max="513" width="18.140625" customWidth="1"/>
    <col min="514" max="514" width="7.7109375" customWidth="1"/>
    <col min="515" max="515" width="8.85546875" customWidth="1"/>
    <col min="516" max="516" width="14.42578125" customWidth="1"/>
    <col min="517" max="517" width="18.42578125" customWidth="1"/>
    <col min="518" max="519" width="7.42578125" customWidth="1"/>
    <col min="520" max="520" width="11.42578125" customWidth="1"/>
    <col min="521" max="521" width="16.140625" customWidth="1"/>
    <col min="522" max="522" width="6.85546875" customWidth="1"/>
    <col min="523" max="523" width="5.42578125" customWidth="1"/>
    <col min="524" max="524" width="17" customWidth="1"/>
    <col min="526" max="526" width="5.42578125" customWidth="1"/>
    <col min="527" max="527" width="15.7109375" customWidth="1"/>
    <col min="529" max="529" width="5.5703125" customWidth="1"/>
    <col min="769" max="769" width="18.140625" customWidth="1"/>
    <col min="770" max="770" width="7.7109375" customWidth="1"/>
    <col min="771" max="771" width="8.85546875" customWidth="1"/>
    <col min="772" max="772" width="14.42578125" customWidth="1"/>
    <col min="773" max="773" width="18.42578125" customWidth="1"/>
    <col min="774" max="775" width="7.42578125" customWidth="1"/>
    <col min="776" max="776" width="11.42578125" customWidth="1"/>
    <col min="777" max="777" width="16.140625" customWidth="1"/>
    <col min="778" max="778" width="6.85546875" customWidth="1"/>
    <col min="779" max="779" width="5.42578125" customWidth="1"/>
    <col min="780" max="780" width="17" customWidth="1"/>
    <col min="782" max="782" width="5.42578125" customWidth="1"/>
    <col min="783" max="783" width="15.7109375" customWidth="1"/>
    <col min="785" max="785" width="5.5703125" customWidth="1"/>
    <col min="1025" max="1025" width="18.140625" customWidth="1"/>
    <col min="1026" max="1026" width="7.7109375" customWidth="1"/>
    <col min="1027" max="1027" width="8.85546875" customWidth="1"/>
    <col min="1028" max="1028" width="14.42578125" customWidth="1"/>
    <col min="1029" max="1029" width="18.42578125" customWidth="1"/>
    <col min="1030" max="1031" width="7.42578125" customWidth="1"/>
    <col min="1032" max="1032" width="11.42578125" customWidth="1"/>
    <col min="1033" max="1033" width="16.140625" customWidth="1"/>
    <col min="1034" max="1034" width="6.85546875" customWidth="1"/>
    <col min="1035" max="1035" width="5.42578125" customWidth="1"/>
    <col min="1036" max="1036" width="17" customWidth="1"/>
    <col min="1038" max="1038" width="5.42578125" customWidth="1"/>
    <col min="1039" max="1039" width="15.7109375" customWidth="1"/>
    <col min="1041" max="1041" width="5.5703125" customWidth="1"/>
    <col min="1281" max="1281" width="18.140625" customWidth="1"/>
    <col min="1282" max="1282" width="7.7109375" customWidth="1"/>
    <col min="1283" max="1283" width="8.85546875" customWidth="1"/>
    <col min="1284" max="1284" width="14.42578125" customWidth="1"/>
    <col min="1285" max="1285" width="18.42578125" customWidth="1"/>
    <col min="1286" max="1287" width="7.42578125" customWidth="1"/>
    <col min="1288" max="1288" width="11.42578125" customWidth="1"/>
    <col min="1289" max="1289" width="16.140625" customWidth="1"/>
    <col min="1290" max="1290" width="6.85546875" customWidth="1"/>
    <col min="1291" max="1291" width="5.42578125" customWidth="1"/>
    <col min="1292" max="1292" width="17" customWidth="1"/>
    <col min="1294" max="1294" width="5.42578125" customWidth="1"/>
    <col min="1295" max="1295" width="15.7109375" customWidth="1"/>
    <col min="1297" max="1297" width="5.5703125" customWidth="1"/>
    <col min="1537" max="1537" width="18.140625" customWidth="1"/>
    <col min="1538" max="1538" width="7.7109375" customWidth="1"/>
    <col min="1539" max="1539" width="8.85546875" customWidth="1"/>
    <col min="1540" max="1540" width="14.42578125" customWidth="1"/>
    <col min="1541" max="1541" width="18.42578125" customWidth="1"/>
    <col min="1542" max="1543" width="7.42578125" customWidth="1"/>
    <col min="1544" max="1544" width="11.42578125" customWidth="1"/>
    <col min="1545" max="1545" width="16.140625" customWidth="1"/>
    <col min="1546" max="1546" width="6.85546875" customWidth="1"/>
    <col min="1547" max="1547" width="5.42578125" customWidth="1"/>
    <col min="1548" max="1548" width="17" customWidth="1"/>
    <col min="1550" max="1550" width="5.42578125" customWidth="1"/>
    <col min="1551" max="1551" width="15.7109375" customWidth="1"/>
    <col min="1553" max="1553" width="5.5703125" customWidth="1"/>
    <col min="1793" max="1793" width="18.140625" customWidth="1"/>
    <col min="1794" max="1794" width="7.7109375" customWidth="1"/>
    <col min="1795" max="1795" width="8.85546875" customWidth="1"/>
    <col min="1796" max="1796" width="14.42578125" customWidth="1"/>
    <col min="1797" max="1797" width="18.42578125" customWidth="1"/>
    <col min="1798" max="1799" width="7.42578125" customWidth="1"/>
    <col min="1800" max="1800" width="11.42578125" customWidth="1"/>
    <col min="1801" max="1801" width="16.140625" customWidth="1"/>
    <col min="1802" max="1802" width="6.85546875" customWidth="1"/>
    <col min="1803" max="1803" width="5.42578125" customWidth="1"/>
    <col min="1804" max="1804" width="17" customWidth="1"/>
    <col min="1806" max="1806" width="5.42578125" customWidth="1"/>
    <col min="1807" max="1807" width="15.7109375" customWidth="1"/>
    <col min="1809" max="1809" width="5.5703125" customWidth="1"/>
    <col min="2049" max="2049" width="18.140625" customWidth="1"/>
    <col min="2050" max="2050" width="7.7109375" customWidth="1"/>
    <col min="2051" max="2051" width="8.85546875" customWidth="1"/>
    <col min="2052" max="2052" width="14.42578125" customWidth="1"/>
    <col min="2053" max="2053" width="18.42578125" customWidth="1"/>
    <col min="2054" max="2055" width="7.42578125" customWidth="1"/>
    <col min="2056" max="2056" width="11.42578125" customWidth="1"/>
    <col min="2057" max="2057" width="16.140625" customWidth="1"/>
    <col min="2058" max="2058" width="6.85546875" customWidth="1"/>
    <col min="2059" max="2059" width="5.42578125" customWidth="1"/>
    <col min="2060" max="2060" width="17" customWidth="1"/>
    <col min="2062" max="2062" width="5.42578125" customWidth="1"/>
    <col min="2063" max="2063" width="15.7109375" customWidth="1"/>
    <col min="2065" max="2065" width="5.5703125" customWidth="1"/>
    <col min="2305" max="2305" width="18.140625" customWidth="1"/>
    <col min="2306" max="2306" width="7.7109375" customWidth="1"/>
    <col min="2307" max="2307" width="8.85546875" customWidth="1"/>
    <col min="2308" max="2308" width="14.42578125" customWidth="1"/>
    <col min="2309" max="2309" width="18.42578125" customWidth="1"/>
    <col min="2310" max="2311" width="7.42578125" customWidth="1"/>
    <col min="2312" max="2312" width="11.42578125" customWidth="1"/>
    <col min="2313" max="2313" width="16.140625" customWidth="1"/>
    <col min="2314" max="2314" width="6.85546875" customWidth="1"/>
    <col min="2315" max="2315" width="5.42578125" customWidth="1"/>
    <col min="2316" max="2316" width="17" customWidth="1"/>
    <col min="2318" max="2318" width="5.42578125" customWidth="1"/>
    <col min="2319" max="2319" width="15.7109375" customWidth="1"/>
    <col min="2321" max="2321" width="5.5703125" customWidth="1"/>
    <col min="2561" max="2561" width="18.140625" customWidth="1"/>
    <col min="2562" max="2562" width="7.7109375" customWidth="1"/>
    <col min="2563" max="2563" width="8.85546875" customWidth="1"/>
    <col min="2564" max="2564" width="14.42578125" customWidth="1"/>
    <col min="2565" max="2565" width="18.42578125" customWidth="1"/>
    <col min="2566" max="2567" width="7.42578125" customWidth="1"/>
    <col min="2568" max="2568" width="11.42578125" customWidth="1"/>
    <col min="2569" max="2569" width="16.140625" customWidth="1"/>
    <col min="2570" max="2570" width="6.85546875" customWidth="1"/>
    <col min="2571" max="2571" width="5.42578125" customWidth="1"/>
    <col min="2572" max="2572" width="17" customWidth="1"/>
    <col min="2574" max="2574" width="5.42578125" customWidth="1"/>
    <col min="2575" max="2575" width="15.7109375" customWidth="1"/>
    <col min="2577" max="2577" width="5.5703125" customWidth="1"/>
    <col min="2817" max="2817" width="18.140625" customWidth="1"/>
    <col min="2818" max="2818" width="7.7109375" customWidth="1"/>
    <col min="2819" max="2819" width="8.85546875" customWidth="1"/>
    <col min="2820" max="2820" width="14.42578125" customWidth="1"/>
    <col min="2821" max="2821" width="18.42578125" customWidth="1"/>
    <col min="2822" max="2823" width="7.42578125" customWidth="1"/>
    <col min="2824" max="2824" width="11.42578125" customWidth="1"/>
    <col min="2825" max="2825" width="16.140625" customWidth="1"/>
    <col min="2826" max="2826" width="6.85546875" customWidth="1"/>
    <col min="2827" max="2827" width="5.42578125" customWidth="1"/>
    <col min="2828" max="2828" width="17" customWidth="1"/>
    <col min="2830" max="2830" width="5.42578125" customWidth="1"/>
    <col min="2831" max="2831" width="15.7109375" customWidth="1"/>
    <col min="2833" max="2833" width="5.5703125" customWidth="1"/>
    <col min="3073" max="3073" width="18.140625" customWidth="1"/>
    <col min="3074" max="3074" width="7.7109375" customWidth="1"/>
    <col min="3075" max="3075" width="8.85546875" customWidth="1"/>
    <col min="3076" max="3076" width="14.42578125" customWidth="1"/>
    <col min="3077" max="3077" width="18.42578125" customWidth="1"/>
    <col min="3078" max="3079" width="7.42578125" customWidth="1"/>
    <col min="3080" max="3080" width="11.42578125" customWidth="1"/>
    <col min="3081" max="3081" width="16.140625" customWidth="1"/>
    <col min="3082" max="3082" width="6.85546875" customWidth="1"/>
    <col min="3083" max="3083" width="5.42578125" customWidth="1"/>
    <col min="3084" max="3084" width="17" customWidth="1"/>
    <col min="3086" max="3086" width="5.42578125" customWidth="1"/>
    <col min="3087" max="3087" width="15.7109375" customWidth="1"/>
    <col min="3089" max="3089" width="5.5703125" customWidth="1"/>
    <col min="3329" max="3329" width="18.140625" customWidth="1"/>
    <col min="3330" max="3330" width="7.7109375" customWidth="1"/>
    <col min="3331" max="3331" width="8.85546875" customWidth="1"/>
    <col min="3332" max="3332" width="14.42578125" customWidth="1"/>
    <col min="3333" max="3333" width="18.42578125" customWidth="1"/>
    <col min="3334" max="3335" width="7.42578125" customWidth="1"/>
    <col min="3336" max="3336" width="11.42578125" customWidth="1"/>
    <col min="3337" max="3337" width="16.140625" customWidth="1"/>
    <col min="3338" max="3338" width="6.85546875" customWidth="1"/>
    <col min="3339" max="3339" width="5.42578125" customWidth="1"/>
    <col min="3340" max="3340" width="17" customWidth="1"/>
    <col min="3342" max="3342" width="5.42578125" customWidth="1"/>
    <col min="3343" max="3343" width="15.7109375" customWidth="1"/>
    <col min="3345" max="3345" width="5.5703125" customWidth="1"/>
    <col min="3585" max="3585" width="18.140625" customWidth="1"/>
    <col min="3586" max="3586" width="7.7109375" customWidth="1"/>
    <col min="3587" max="3587" width="8.85546875" customWidth="1"/>
    <col min="3588" max="3588" width="14.42578125" customWidth="1"/>
    <col min="3589" max="3589" width="18.42578125" customWidth="1"/>
    <col min="3590" max="3591" width="7.42578125" customWidth="1"/>
    <col min="3592" max="3592" width="11.42578125" customWidth="1"/>
    <col min="3593" max="3593" width="16.140625" customWidth="1"/>
    <col min="3594" max="3594" width="6.85546875" customWidth="1"/>
    <col min="3595" max="3595" width="5.42578125" customWidth="1"/>
    <col min="3596" max="3596" width="17" customWidth="1"/>
    <col min="3598" max="3598" width="5.42578125" customWidth="1"/>
    <col min="3599" max="3599" width="15.7109375" customWidth="1"/>
    <col min="3601" max="3601" width="5.5703125" customWidth="1"/>
    <col min="3841" max="3841" width="18.140625" customWidth="1"/>
    <col min="3842" max="3842" width="7.7109375" customWidth="1"/>
    <col min="3843" max="3843" width="8.85546875" customWidth="1"/>
    <col min="3844" max="3844" width="14.42578125" customWidth="1"/>
    <col min="3845" max="3845" width="18.42578125" customWidth="1"/>
    <col min="3846" max="3847" width="7.42578125" customWidth="1"/>
    <col min="3848" max="3848" width="11.42578125" customWidth="1"/>
    <col min="3849" max="3849" width="16.140625" customWidth="1"/>
    <col min="3850" max="3850" width="6.85546875" customWidth="1"/>
    <col min="3851" max="3851" width="5.42578125" customWidth="1"/>
    <col min="3852" max="3852" width="17" customWidth="1"/>
    <col min="3854" max="3854" width="5.42578125" customWidth="1"/>
    <col min="3855" max="3855" width="15.7109375" customWidth="1"/>
    <col min="3857" max="3857" width="5.5703125" customWidth="1"/>
    <col min="4097" max="4097" width="18.140625" customWidth="1"/>
    <col min="4098" max="4098" width="7.7109375" customWidth="1"/>
    <col min="4099" max="4099" width="8.85546875" customWidth="1"/>
    <col min="4100" max="4100" width="14.42578125" customWidth="1"/>
    <col min="4101" max="4101" width="18.42578125" customWidth="1"/>
    <col min="4102" max="4103" width="7.42578125" customWidth="1"/>
    <col min="4104" max="4104" width="11.42578125" customWidth="1"/>
    <col min="4105" max="4105" width="16.140625" customWidth="1"/>
    <col min="4106" max="4106" width="6.85546875" customWidth="1"/>
    <col min="4107" max="4107" width="5.42578125" customWidth="1"/>
    <col min="4108" max="4108" width="17" customWidth="1"/>
    <col min="4110" max="4110" width="5.42578125" customWidth="1"/>
    <col min="4111" max="4111" width="15.7109375" customWidth="1"/>
    <col min="4113" max="4113" width="5.5703125" customWidth="1"/>
    <col min="4353" max="4353" width="18.140625" customWidth="1"/>
    <col min="4354" max="4354" width="7.7109375" customWidth="1"/>
    <col min="4355" max="4355" width="8.85546875" customWidth="1"/>
    <col min="4356" max="4356" width="14.42578125" customWidth="1"/>
    <col min="4357" max="4357" width="18.42578125" customWidth="1"/>
    <col min="4358" max="4359" width="7.42578125" customWidth="1"/>
    <col min="4360" max="4360" width="11.42578125" customWidth="1"/>
    <col min="4361" max="4361" width="16.140625" customWidth="1"/>
    <col min="4362" max="4362" width="6.85546875" customWidth="1"/>
    <col min="4363" max="4363" width="5.42578125" customWidth="1"/>
    <col min="4364" max="4364" width="17" customWidth="1"/>
    <col min="4366" max="4366" width="5.42578125" customWidth="1"/>
    <col min="4367" max="4367" width="15.7109375" customWidth="1"/>
    <col min="4369" max="4369" width="5.5703125" customWidth="1"/>
    <col min="4609" max="4609" width="18.140625" customWidth="1"/>
    <col min="4610" max="4610" width="7.7109375" customWidth="1"/>
    <col min="4611" max="4611" width="8.85546875" customWidth="1"/>
    <col min="4612" max="4612" width="14.42578125" customWidth="1"/>
    <col min="4613" max="4613" width="18.42578125" customWidth="1"/>
    <col min="4614" max="4615" width="7.42578125" customWidth="1"/>
    <col min="4616" max="4616" width="11.42578125" customWidth="1"/>
    <col min="4617" max="4617" width="16.140625" customWidth="1"/>
    <col min="4618" max="4618" width="6.85546875" customWidth="1"/>
    <col min="4619" max="4619" width="5.42578125" customWidth="1"/>
    <col min="4620" max="4620" width="17" customWidth="1"/>
    <col min="4622" max="4622" width="5.42578125" customWidth="1"/>
    <col min="4623" max="4623" width="15.7109375" customWidth="1"/>
    <col min="4625" max="4625" width="5.5703125" customWidth="1"/>
    <col min="4865" max="4865" width="18.140625" customWidth="1"/>
    <col min="4866" max="4866" width="7.7109375" customWidth="1"/>
    <col min="4867" max="4867" width="8.85546875" customWidth="1"/>
    <col min="4868" max="4868" width="14.42578125" customWidth="1"/>
    <col min="4869" max="4869" width="18.42578125" customWidth="1"/>
    <col min="4870" max="4871" width="7.42578125" customWidth="1"/>
    <col min="4872" max="4872" width="11.42578125" customWidth="1"/>
    <col min="4873" max="4873" width="16.140625" customWidth="1"/>
    <col min="4874" max="4874" width="6.85546875" customWidth="1"/>
    <col min="4875" max="4875" width="5.42578125" customWidth="1"/>
    <col min="4876" max="4876" width="17" customWidth="1"/>
    <col min="4878" max="4878" width="5.42578125" customWidth="1"/>
    <col min="4879" max="4879" width="15.7109375" customWidth="1"/>
    <col min="4881" max="4881" width="5.5703125" customWidth="1"/>
    <col min="5121" max="5121" width="18.140625" customWidth="1"/>
    <col min="5122" max="5122" width="7.7109375" customWidth="1"/>
    <col min="5123" max="5123" width="8.85546875" customWidth="1"/>
    <col min="5124" max="5124" width="14.42578125" customWidth="1"/>
    <col min="5125" max="5125" width="18.42578125" customWidth="1"/>
    <col min="5126" max="5127" width="7.42578125" customWidth="1"/>
    <col min="5128" max="5128" width="11.42578125" customWidth="1"/>
    <col min="5129" max="5129" width="16.140625" customWidth="1"/>
    <col min="5130" max="5130" width="6.85546875" customWidth="1"/>
    <col min="5131" max="5131" width="5.42578125" customWidth="1"/>
    <col min="5132" max="5132" width="17" customWidth="1"/>
    <col min="5134" max="5134" width="5.42578125" customWidth="1"/>
    <col min="5135" max="5135" width="15.7109375" customWidth="1"/>
    <col min="5137" max="5137" width="5.5703125" customWidth="1"/>
    <col min="5377" max="5377" width="18.140625" customWidth="1"/>
    <col min="5378" max="5378" width="7.7109375" customWidth="1"/>
    <col min="5379" max="5379" width="8.85546875" customWidth="1"/>
    <col min="5380" max="5380" width="14.42578125" customWidth="1"/>
    <col min="5381" max="5381" width="18.42578125" customWidth="1"/>
    <col min="5382" max="5383" width="7.42578125" customWidth="1"/>
    <col min="5384" max="5384" width="11.42578125" customWidth="1"/>
    <col min="5385" max="5385" width="16.140625" customWidth="1"/>
    <col min="5386" max="5386" width="6.85546875" customWidth="1"/>
    <col min="5387" max="5387" width="5.42578125" customWidth="1"/>
    <col min="5388" max="5388" width="17" customWidth="1"/>
    <col min="5390" max="5390" width="5.42578125" customWidth="1"/>
    <col min="5391" max="5391" width="15.7109375" customWidth="1"/>
    <col min="5393" max="5393" width="5.5703125" customWidth="1"/>
    <col min="5633" max="5633" width="18.140625" customWidth="1"/>
    <col min="5634" max="5634" width="7.7109375" customWidth="1"/>
    <col min="5635" max="5635" width="8.85546875" customWidth="1"/>
    <col min="5636" max="5636" width="14.42578125" customWidth="1"/>
    <col min="5637" max="5637" width="18.42578125" customWidth="1"/>
    <col min="5638" max="5639" width="7.42578125" customWidth="1"/>
    <col min="5640" max="5640" width="11.42578125" customWidth="1"/>
    <col min="5641" max="5641" width="16.140625" customWidth="1"/>
    <col min="5642" max="5642" width="6.85546875" customWidth="1"/>
    <col min="5643" max="5643" width="5.42578125" customWidth="1"/>
    <col min="5644" max="5644" width="17" customWidth="1"/>
    <col min="5646" max="5646" width="5.42578125" customWidth="1"/>
    <col min="5647" max="5647" width="15.7109375" customWidth="1"/>
    <col min="5649" max="5649" width="5.5703125" customWidth="1"/>
    <col min="5889" max="5889" width="18.140625" customWidth="1"/>
    <col min="5890" max="5890" width="7.7109375" customWidth="1"/>
    <col min="5891" max="5891" width="8.85546875" customWidth="1"/>
    <col min="5892" max="5892" width="14.42578125" customWidth="1"/>
    <col min="5893" max="5893" width="18.42578125" customWidth="1"/>
    <col min="5894" max="5895" width="7.42578125" customWidth="1"/>
    <col min="5896" max="5896" width="11.42578125" customWidth="1"/>
    <col min="5897" max="5897" width="16.140625" customWidth="1"/>
    <col min="5898" max="5898" width="6.85546875" customWidth="1"/>
    <col min="5899" max="5899" width="5.42578125" customWidth="1"/>
    <col min="5900" max="5900" width="17" customWidth="1"/>
    <col min="5902" max="5902" width="5.42578125" customWidth="1"/>
    <col min="5903" max="5903" width="15.7109375" customWidth="1"/>
    <col min="5905" max="5905" width="5.5703125" customWidth="1"/>
    <col min="6145" max="6145" width="18.140625" customWidth="1"/>
    <col min="6146" max="6146" width="7.7109375" customWidth="1"/>
    <col min="6147" max="6147" width="8.85546875" customWidth="1"/>
    <col min="6148" max="6148" width="14.42578125" customWidth="1"/>
    <col min="6149" max="6149" width="18.42578125" customWidth="1"/>
    <col min="6150" max="6151" width="7.42578125" customWidth="1"/>
    <col min="6152" max="6152" width="11.42578125" customWidth="1"/>
    <col min="6153" max="6153" width="16.140625" customWidth="1"/>
    <col min="6154" max="6154" width="6.85546875" customWidth="1"/>
    <col min="6155" max="6155" width="5.42578125" customWidth="1"/>
    <col min="6156" max="6156" width="17" customWidth="1"/>
    <col min="6158" max="6158" width="5.42578125" customWidth="1"/>
    <col min="6159" max="6159" width="15.7109375" customWidth="1"/>
    <col min="6161" max="6161" width="5.5703125" customWidth="1"/>
    <col min="6401" max="6401" width="18.140625" customWidth="1"/>
    <col min="6402" max="6402" width="7.7109375" customWidth="1"/>
    <col min="6403" max="6403" width="8.85546875" customWidth="1"/>
    <col min="6404" max="6404" width="14.42578125" customWidth="1"/>
    <col min="6405" max="6405" width="18.42578125" customWidth="1"/>
    <col min="6406" max="6407" width="7.42578125" customWidth="1"/>
    <col min="6408" max="6408" width="11.42578125" customWidth="1"/>
    <col min="6409" max="6409" width="16.140625" customWidth="1"/>
    <col min="6410" max="6410" width="6.85546875" customWidth="1"/>
    <col min="6411" max="6411" width="5.42578125" customWidth="1"/>
    <col min="6412" max="6412" width="17" customWidth="1"/>
    <col min="6414" max="6414" width="5.42578125" customWidth="1"/>
    <col min="6415" max="6415" width="15.7109375" customWidth="1"/>
    <col min="6417" max="6417" width="5.5703125" customWidth="1"/>
    <col min="6657" max="6657" width="18.140625" customWidth="1"/>
    <col min="6658" max="6658" width="7.7109375" customWidth="1"/>
    <col min="6659" max="6659" width="8.85546875" customWidth="1"/>
    <col min="6660" max="6660" width="14.42578125" customWidth="1"/>
    <col min="6661" max="6661" width="18.42578125" customWidth="1"/>
    <col min="6662" max="6663" width="7.42578125" customWidth="1"/>
    <col min="6664" max="6664" width="11.42578125" customWidth="1"/>
    <col min="6665" max="6665" width="16.140625" customWidth="1"/>
    <col min="6666" max="6666" width="6.85546875" customWidth="1"/>
    <col min="6667" max="6667" width="5.42578125" customWidth="1"/>
    <col min="6668" max="6668" width="17" customWidth="1"/>
    <col min="6670" max="6670" width="5.42578125" customWidth="1"/>
    <col min="6671" max="6671" width="15.7109375" customWidth="1"/>
    <col min="6673" max="6673" width="5.5703125" customWidth="1"/>
    <col min="6913" max="6913" width="18.140625" customWidth="1"/>
    <col min="6914" max="6914" width="7.7109375" customWidth="1"/>
    <col min="6915" max="6915" width="8.85546875" customWidth="1"/>
    <col min="6916" max="6916" width="14.42578125" customWidth="1"/>
    <col min="6917" max="6917" width="18.42578125" customWidth="1"/>
    <col min="6918" max="6919" width="7.42578125" customWidth="1"/>
    <col min="6920" max="6920" width="11.42578125" customWidth="1"/>
    <col min="6921" max="6921" width="16.140625" customWidth="1"/>
    <col min="6922" max="6922" width="6.85546875" customWidth="1"/>
    <col min="6923" max="6923" width="5.42578125" customWidth="1"/>
    <col min="6924" max="6924" width="17" customWidth="1"/>
    <col min="6926" max="6926" width="5.42578125" customWidth="1"/>
    <col min="6927" max="6927" width="15.7109375" customWidth="1"/>
    <col min="6929" max="6929" width="5.5703125" customWidth="1"/>
    <col min="7169" max="7169" width="18.140625" customWidth="1"/>
    <col min="7170" max="7170" width="7.7109375" customWidth="1"/>
    <col min="7171" max="7171" width="8.85546875" customWidth="1"/>
    <col min="7172" max="7172" width="14.42578125" customWidth="1"/>
    <col min="7173" max="7173" width="18.42578125" customWidth="1"/>
    <col min="7174" max="7175" width="7.42578125" customWidth="1"/>
    <col min="7176" max="7176" width="11.42578125" customWidth="1"/>
    <col min="7177" max="7177" width="16.140625" customWidth="1"/>
    <col min="7178" max="7178" width="6.85546875" customWidth="1"/>
    <col min="7179" max="7179" width="5.42578125" customWidth="1"/>
    <col min="7180" max="7180" width="17" customWidth="1"/>
    <col min="7182" max="7182" width="5.42578125" customWidth="1"/>
    <col min="7183" max="7183" width="15.7109375" customWidth="1"/>
    <col min="7185" max="7185" width="5.5703125" customWidth="1"/>
    <col min="7425" max="7425" width="18.140625" customWidth="1"/>
    <col min="7426" max="7426" width="7.7109375" customWidth="1"/>
    <col min="7427" max="7427" width="8.85546875" customWidth="1"/>
    <col min="7428" max="7428" width="14.42578125" customWidth="1"/>
    <col min="7429" max="7429" width="18.42578125" customWidth="1"/>
    <col min="7430" max="7431" width="7.42578125" customWidth="1"/>
    <col min="7432" max="7432" width="11.42578125" customWidth="1"/>
    <col min="7433" max="7433" width="16.140625" customWidth="1"/>
    <col min="7434" max="7434" width="6.85546875" customWidth="1"/>
    <col min="7435" max="7435" width="5.42578125" customWidth="1"/>
    <col min="7436" max="7436" width="17" customWidth="1"/>
    <col min="7438" max="7438" width="5.42578125" customWidth="1"/>
    <col min="7439" max="7439" width="15.7109375" customWidth="1"/>
    <col min="7441" max="7441" width="5.5703125" customWidth="1"/>
    <col min="7681" max="7681" width="18.140625" customWidth="1"/>
    <col min="7682" max="7682" width="7.7109375" customWidth="1"/>
    <col min="7683" max="7683" width="8.85546875" customWidth="1"/>
    <col min="7684" max="7684" width="14.42578125" customWidth="1"/>
    <col min="7685" max="7685" width="18.42578125" customWidth="1"/>
    <col min="7686" max="7687" width="7.42578125" customWidth="1"/>
    <col min="7688" max="7688" width="11.42578125" customWidth="1"/>
    <col min="7689" max="7689" width="16.140625" customWidth="1"/>
    <col min="7690" max="7690" width="6.85546875" customWidth="1"/>
    <col min="7691" max="7691" width="5.42578125" customWidth="1"/>
    <col min="7692" max="7692" width="17" customWidth="1"/>
    <col min="7694" max="7694" width="5.42578125" customWidth="1"/>
    <col min="7695" max="7695" width="15.7109375" customWidth="1"/>
    <col min="7697" max="7697" width="5.5703125" customWidth="1"/>
    <col min="7937" max="7937" width="18.140625" customWidth="1"/>
    <col min="7938" max="7938" width="7.7109375" customWidth="1"/>
    <col min="7939" max="7939" width="8.85546875" customWidth="1"/>
    <col min="7940" max="7940" width="14.42578125" customWidth="1"/>
    <col min="7941" max="7941" width="18.42578125" customWidth="1"/>
    <col min="7942" max="7943" width="7.42578125" customWidth="1"/>
    <col min="7944" max="7944" width="11.42578125" customWidth="1"/>
    <col min="7945" max="7945" width="16.140625" customWidth="1"/>
    <col min="7946" max="7946" width="6.85546875" customWidth="1"/>
    <col min="7947" max="7947" width="5.42578125" customWidth="1"/>
    <col min="7948" max="7948" width="17" customWidth="1"/>
    <col min="7950" max="7950" width="5.42578125" customWidth="1"/>
    <col min="7951" max="7951" width="15.7109375" customWidth="1"/>
    <col min="7953" max="7953" width="5.5703125" customWidth="1"/>
    <col min="8193" max="8193" width="18.140625" customWidth="1"/>
    <col min="8194" max="8194" width="7.7109375" customWidth="1"/>
    <col min="8195" max="8195" width="8.85546875" customWidth="1"/>
    <col min="8196" max="8196" width="14.42578125" customWidth="1"/>
    <col min="8197" max="8197" width="18.42578125" customWidth="1"/>
    <col min="8198" max="8199" width="7.42578125" customWidth="1"/>
    <col min="8200" max="8200" width="11.42578125" customWidth="1"/>
    <col min="8201" max="8201" width="16.140625" customWidth="1"/>
    <col min="8202" max="8202" width="6.85546875" customWidth="1"/>
    <col min="8203" max="8203" width="5.42578125" customWidth="1"/>
    <col min="8204" max="8204" width="17" customWidth="1"/>
    <col min="8206" max="8206" width="5.42578125" customWidth="1"/>
    <col min="8207" max="8207" width="15.7109375" customWidth="1"/>
    <col min="8209" max="8209" width="5.5703125" customWidth="1"/>
    <col min="8449" max="8449" width="18.140625" customWidth="1"/>
    <col min="8450" max="8450" width="7.7109375" customWidth="1"/>
    <col min="8451" max="8451" width="8.85546875" customWidth="1"/>
    <col min="8452" max="8452" width="14.42578125" customWidth="1"/>
    <col min="8453" max="8453" width="18.42578125" customWidth="1"/>
    <col min="8454" max="8455" width="7.42578125" customWidth="1"/>
    <col min="8456" max="8456" width="11.42578125" customWidth="1"/>
    <col min="8457" max="8457" width="16.140625" customWidth="1"/>
    <col min="8458" max="8458" width="6.85546875" customWidth="1"/>
    <col min="8459" max="8459" width="5.42578125" customWidth="1"/>
    <col min="8460" max="8460" width="17" customWidth="1"/>
    <col min="8462" max="8462" width="5.42578125" customWidth="1"/>
    <col min="8463" max="8463" width="15.7109375" customWidth="1"/>
    <col min="8465" max="8465" width="5.5703125" customWidth="1"/>
    <col min="8705" max="8705" width="18.140625" customWidth="1"/>
    <col min="8706" max="8706" width="7.7109375" customWidth="1"/>
    <col min="8707" max="8707" width="8.85546875" customWidth="1"/>
    <col min="8708" max="8708" width="14.42578125" customWidth="1"/>
    <col min="8709" max="8709" width="18.42578125" customWidth="1"/>
    <col min="8710" max="8711" width="7.42578125" customWidth="1"/>
    <col min="8712" max="8712" width="11.42578125" customWidth="1"/>
    <col min="8713" max="8713" width="16.140625" customWidth="1"/>
    <col min="8714" max="8714" width="6.85546875" customWidth="1"/>
    <col min="8715" max="8715" width="5.42578125" customWidth="1"/>
    <col min="8716" max="8716" width="17" customWidth="1"/>
    <col min="8718" max="8718" width="5.42578125" customWidth="1"/>
    <col min="8719" max="8719" width="15.7109375" customWidth="1"/>
    <col min="8721" max="8721" width="5.5703125" customWidth="1"/>
    <col min="8961" max="8961" width="18.140625" customWidth="1"/>
    <col min="8962" max="8962" width="7.7109375" customWidth="1"/>
    <col min="8963" max="8963" width="8.85546875" customWidth="1"/>
    <col min="8964" max="8964" width="14.42578125" customWidth="1"/>
    <col min="8965" max="8965" width="18.42578125" customWidth="1"/>
    <col min="8966" max="8967" width="7.42578125" customWidth="1"/>
    <col min="8968" max="8968" width="11.42578125" customWidth="1"/>
    <col min="8969" max="8969" width="16.140625" customWidth="1"/>
    <col min="8970" max="8970" width="6.85546875" customWidth="1"/>
    <col min="8971" max="8971" width="5.42578125" customWidth="1"/>
    <col min="8972" max="8972" width="17" customWidth="1"/>
    <col min="8974" max="8974" width="5.42578125" customWidth="1"/>
    <col min="8975" max="8975" width="15.7109375" customWidth="1"/>
    <col min="8977" max="8977" width="5.5703125" customWidth="1"/>
    <col min="9217" max="9217" width="18.140625" customWidth="1"/>
    <col min="9218" max="9218" width="7.7109375" customWidth="1"/>
    <col min="9219" max="9219" width="8.85546875" customWidth="1"/>
    <col min="9220" max="9220" width="14.42578125" customWidth="1"/>
    <col min="9221" max="9221" width="18.42578125" customWidth="1"/>
    <col min="9222" max="9223" width="7.42578125" customWidth="1"/>
    <col min="9224" max="9224" width="11.42578125" customWidth="1"/>
    <col min="9225" max="9225" width="16.140625" customWidth="1"/>
    <col min="9226" max="9226" width="6.85546875" customWidth="1"/>
    <col min="9227" max="9227" width="5.42578125" customWidth="1"/>
    <col min="9228" max="9228" width="17" customWidth="1"/>
    <col min="9230" max="9230" width="5.42578125" customWidth="1"/>
    <col min="9231" max="9231" width="15.7109375" customWidth="1"/>
    <col min="9233" max="9233" width="5.5703125" customWidth="1"/>
    <col min="9473" max="9473" width="18.140625" customWidth="1"/>
    <col min="9474" max="9474" width="7.7109375" customWidth="1"/>
    <col min="9475" max="9475" width="8.85546875" customWidth="1"/>
    <col min="9476" max="9476" width="14.42578125" customWidth="1"/>
    <col min="9477" max="9477" width="18.42578125" customWidth="1"/>
    <col min="9478" max="9479" width="7.42578125" customWidth="1"/>
    <col min="9480" max="9480" width="11.42578125" customWidth="1"/>
    <col min="9481" max="9481" width="16.140625" customWidth="1"/>
    <col min="9482" max="9482" width="6.85546875" customWidth="1"/>
    <col min="9483" max="9483" width="5.42578125" customWidth="1"/>
    <col min="9484" max="9484" width="17" customWidth="1"/>
    <col min="9486" max="9486" width="5.42578125" customWidth="1"/>
    <col min="9487" max="9487" width="15.7109375" customWidth="1"/>
    <col min="9489" max="9489" width="5.5703125" customWidth="1"/>
    <col min="9729" max="9729" width="18.140625" customWidth="1"/>
    <col min="9730" max="9730" width="7.7109375" customWidth="1"/>
    <col min="9731" max="9731" width="8.85546875" customWidth="1"/>
    <col min="9732" max="9732" width="14.42578125" customWidth="1"/>
    <col min="9733" max="9733" width="18.42578125" customWidth="1"/>
    <col min="9734" max="9735" width="7.42578125" customWidth="1"/>
    <col min="9736" max="9736" width="11.42578125" customWidth="1"/>
    <col min="9737" max="9737" width="16.140625" customWidth="1"/>
    <col min="9738" max="9738" width="6.85546875" customWidth="1"/>
    <col min="9739" max="9739" width="5.42578125" customWidth="1"/>
    <col min="9740" max="9740" width="17" customWidth="1"/>
    <col min="9742" max="9742" width="5.42578125" customWidth="1"/>
    <col min="9743" max="9743" width="15.7109375" customWidth="1"/>
    <col min="9745" max="9745" width="5.5703125" customWidth="1"/>
    <col min="9985" max="9985" width="18.140625" customWidth="1"/>
    <col min="9986" max="9986" width="7.7109375" customWidth="1"/>
    <col min="9987" max="9987" width="8.85546875" customWidth="1"/>
    <col min="9988" max="9988" width="14.42578125" customWidth="1"/>
    <col min="9989" max="9989" width="18.42578125" customWidth="1"/>
    <col min="9990" max="9991" width="7.42578125" customWidth="1"/>
    <col min="9992" max="9992" width="11.42578125" customWidth="1"/>
    <col min="9993" max="9993" width="16.140625" customWidth="1"/>
    <col min="9994" max="9994" width="6.85546875" customWidth="1"/>
    <col min="9995" max="9995" width="5.42578125" customWidth="1"/>
    <col min="9996" max="9996" width="17" customWidth="1"/>
    <col min="9998" max="9998" width="5.42578125" customWidth="1"/>
    <col min="9999" max="9999" width="15.7109375" customWidth="1"/>
    <col min="10001" max="10001" width="5.5703125" customWidth="1"/>
    <col min="10241" max="10241" width="18.140625" customWidth="1"/>
    <col min="10242" max="10242" width="7.7109375" customWidth="1"/>
    <col min="10243" max="10243" width="8.85546875" customWidth="1"/>
    <col min="10244" max="10244" width="14.42578125" customWidth="1"/>
    <col min="10245" max="10245" width="18.42578125" customWidth="1"/>
    <col min="10246" max="10247" width="7.42578125" customWidth="1"/>
    <col min="10248" max="10248" width="11.42578125" customWidth="1"/>
    <col min="10249" max="10249" width="16.140625" customWidth="1"/>
    <col min="10250" max="10250" width="6.85546875" customWidth="1"/>
    <col min="10251" max="10251" width="5.42578125" customWidth="1"/>
    <col min="10252" max="10252" width="17" customWidth="1"/>
    <col min="10254" max="10254" width="5.42578125" customWidth="1"/>
    <col min="10255" max="10255" width="15.7109375" customWidth="1"/>
    <col min="10257" max="10257" width="5.5703125" customWidth="1"/>
    <col min="10497" max="10497" width="18.140625" customWidth="1"/>
    <col min="10498" max="10498" width="7.7109375" customWidth="1"/>
    <col min="10499" max="10499" width="8.85546875" customWidth="1"/>
    <col min="10500" max="10500" width="14.42578125" customWidth="1"/>
    <col min="10501" max="10501" width="18.42578125" customWidth="1"/>
    <col min="10502" max="10503" width="7.42578125" customWidth="1"/>
    <col min="10504" max="10504" width="11.42578125" customWidth="1"/>
    <col min="10505" max="10505" width="16.140625" customWidth="1"/>
    <col min="10506" max="10506" width="6.85546875" customWidth="1"/>
    <col min="10507" max="10507" width="5.42578125" customWidth="1"/>
    <col min="10508" max="10508" width="17" customWidth="1"/>
    <col min="10510" max="10510" width="5.42578125" customWidth="1"/>
    <col min="10511" max="10511" width="15.7109375" customWidth="1"/>
    <col min="10513" max="10513" width="5.5703125" customWidth="1"/>
    <col min="10753" max="10753" width="18.140625" customWidth="1"/>
    <col min="10754" max="10754" width="7.7109375" customWidth="1"/>
    <col min="10755" max="10755" width="8.85546875" customWidth="1"/>
    <col min="10756" max="10756" width="14.42578125" customWidth="1"/>
    <col min="10757" max="10757" width="18.42578125" customWidth="1"/>
    <col min="10758" max="10759" width="7.42578125" customWidth="1"/>
    <col min="10760" max="10760" width="11.42578125" customWidth="1"/>
    <col min="10761" max="10761" width="16.140625" customWidth="1"/>
    <col min="10762" max="10762" width="6.85546875" customWidth="1"/>
    <col min="10763" max="10763" width="5.42578125" customWidth="1"/>
    <col min="10764" max="10764" width="17" customWidth="1"/>
    <col min="10766" max="10766" width="5.42578125" customWidth="1"/>
    <col min="10767" max="10767" width="15.7109375" customWidth="1"/>
    <col min="10769" max="10769" width="5.5703125" customWidth="1"/>
    <col min="11009" max="11009" width="18.140625" customWidth="1"/>
    <col min="11010" max="11010" width="7.7109375" customWidth="1"/>
    <col min="11011" max="11011" width="8.85546875" customWidth="1"/>
    <col min="11012" max="11012" width="14.42578125" customWidth="1"/>
    <col min="11013" max="11013" width="18.42578125" customWidth="1"/>
    <col min="11014" max="11015" width="7.42578125" customWidth="1"/>
    <col min="11016" max="11016" width="11.42578125" customWidth="1"/>
    <col min="11017" max="11017" width="16.140625" customWidth="1"/>
    <col min="11018" max="11018" width="6.85546875" customWidth="1"/>
    <col min="11019" max="11019" width="5.42578125" customWidth="1"/>
    <col min="11020" max="11020" width="17" customWidth="1"/>
    <col min="11022" max="11022" width="5.42578125" customWidth="1"/>
    <col min="11023" max="11023" width="15.7109375" customWidth="1"/>
    <col min="11025" max="11025" width="5.5703125" customWidth="1"/>
    <col min="11265" max="11265" width="18.140625" customWidth="1"/>
    <col min="11266" max="11266" width="7.7109375" customWidth="1"/>
    <col min="11267" max="11267" width="8.85546875" customWidth="1"/>
    <col min="11268" max="11268" width="14.42578125" customWidth="1"/>
    <col min="11269" max="11269" width="18.42578125" customWidth="1"/>
    <col min="11270" max="11271" width="7.42578125" customWidth="1"/>
    <col min="11272" max="11272" width="11.42578125" customWidth="1"/>
    <col min="11273" max="11273" width="16.140625" customWidth="1"/>
    <col min="11274" max="11274" width="6.85546875" customWidth="1"/>
    <col min="11275" max="11275" width="5.42578125" customWidth="1"/>
    <col min="11276" max="11276" width="17" customWidth="1"/>
    <col min="11278" max="11278" width="5.42578125" customWidth="1"/>
    <col min="11279" max="11279" width="15.7109375" customWidth="1"/>
    <col min="11281" max="11281" width="5.5703125" customWidth="1"/>
    <col min="11521" max="11521" width="18.140625" customWidth="1"/>
    <col min="11522" max="11522" width="7.7109375" customWidth="1"/>
    <col min="11523" max="11523" width="8.85546875" customWidth="1"/>
    <col min="11524" max="11524" width="14.42578125" customWidth="1"/>
    <col min="11525" max="11525" width="18.42578125" customWidth="1"/>
    <col min="11526" max="11527" width="7.42578125" customWidth="1"/>
    <col min="11528" max="11528" width="11.42578125" customWidth="1"/>
    <col min="11529" max="11529" width="16.140625" customWidth="1"/>
    <col min="11530" max="11530" width="6.85546875" customWidth="1"/>
    <col min="11531" max="11531" width="5.42578125" customWidth="1"/>
    <col min="11532" max="11532" width="17" customWidth="1"/>
    <col min="11534" max="11534" width="5.42578125" customWidth="1"/>
    <col min="11535" max="11535" width="15.7109375" customWidth="1"/>
    <col min="11537" max="11537" width="5.5703125" customWidth="1"/>
    <col min="11777" max="11777" width="18.140625" customWidth="1"/>
    <col min="11778" max="11778" width="7.7109375" customWidth="1"/>
    <col min="11779" max="11779" width="8.85546875" customWidth="1"/>
    <col min="11780" max="11780" width="14.42578125" customWidth="1"/>
    <col min="11781" max="11781" width="18.42578125" customWidth="1"/>
    <col min="11782" max="11783" width="7.42578125" customWidth="1"/>
    <col min="11784" max="11784" width="11.42578125" customWidth="1"/>
    <col min="11785" max="11785" width="16.140625" customWidth="1"/>
    <col min="11786" max="11786" width="6.85546875" customWidth="1"/>
    <col min="11787" max="11787" width="5.42578125" customWidth="1"/>
    <col min="11788" max="11788" width="17" customWidth="1"/>
    <col min="11790" max="11790" width="5.42578125" customWidth="1"/>
    <col min="11791" max="11791" width="15.7109375" customWidth="1"/>
    <col min="11793" max="11793" width="5.5703125" customWidth="1"/>
    <col min="12033" max="12033" width="18.140625" customWidth="1"/>
    <col min="12034" max="12034" width="7.7109375" customWidth="1"/>
    <col min="12035" max="12035" width="8.85546875" customWidth="1"/>
    <col min="12036" max="12036" width="14.42578125" customWidth="1"/>
    <col min="12037" max="12037" width="18.42578125" customWidth="1"/>
    <col min="12038" max="12039" width="7.42578125" customWidth="1"/>
    <col min="12040" max="12040" width="11.42578125" customWidth="1"/>
    <col min="12041" max="12041" width="16.140625" customWidth="1"/>
    <col min="12042" max="12042" width="6.85546875" customWidth="1"/>
    <col min="12043" max="12043" width="5.42578125" customWidth="1"/>
    <col min="12044" max="12044" width="17" customWidth="1"/>
    <col min="12046" max="12046" width="5.42578125" customWidth="1"/>
    <col min="12047" max="12047" width="15.7109375" customWidth="1"/>
    <col min="12049" max="12049" width="5.5703125" customWidth="1"/>
    <col min="12289" max="12289" width="18.140625" customWidth="1"/>
    <col min="12290" max="12290" width="7.7109375" customWidth="1"/>
    <col min="12291" max="12291" width="8.85546875" customWidth="1"/>
    <col min="12292" max="12292" width="14.42578125" customWidth="1"/>
    <col min="12293" max="12293" width="18.42578125" customWidth="1"/>
    <col min="12294" max="12295" width="7.42578125" customWidth="1"/>
    <col min="12296" max="12296" width="11.42578125" customWidth="1"/>
    <col min="12297" max="12297" width="16.140625" customWidth="1"/>
    <col min="12298" max="12298" width="6.85546875" customWidth="1"/>
    <col min="12299" max="12299" width="5.42578125" customWidth="1"/>
    <col min="12300" max="12300" width="17" customWidth="1"/>
    <col min="12302" max="12302" width="5.42578125" customWidth="1"/>
    <col min="12303" max="12303" width="15.7109375" customWidth="1"/>
    <col min="12305" max="12305" width="5.5703125" customWidth="1"/>
    <col min="12545" max="12545" width="18.140625" customWidth="1"/>
    <col min="12546" max="12546" width="7.7109375" customWidth="1"/>
    <col min="12547" max="12547" width="8.85546875" customWidth="1"/>
    <col min="12548" max="12548" width="14.42578125" customWidth="1"/>
    <col min="12549" max="12549" width="18.42578125" customWidth="1"/>
    <col min="12550" max="12551" width="7.42578125" customWidth="1"/>
    <col min="12552" max="12552" width="11.42578125" customWidth="1"/>
    <col min="12553" max="12553" width="16.140625" customWidth="1"/>
    <col min="12554" max="12554" width="6.85546875" customWidth="1"/>
    <col min="12555" max="12555" width="5.42578125" customWidth="1"/>
    <col min="12556" max="12556" width="17" customWidth="1"/>
    <col min="12558" max="12558" width="5.42578125" customWidth="1"/>
    <col min="12559" max="12559" width="15.7109375" customWidth="1"/>
    <col min="12561" max="12561" width="5.5703125" customWidth="1"/>
    <col min="12801" max="12801" width="18.140625" customWidth="1"/>
    <col min="12802" max="12802" width="7.7109375" customWidth="1"/>
    <col min="12803" max="12803" width="8.85546875" customWidth="1"/>
    <col min="12804" max="12804" width="14.42578125" customWidth="1"/>
    <col min="12805" max="12805" width="18.42578125" customWidth="1"/>
    <col min="12806" max="12807" width="7.42578125" customWidth="1"/>
    <col min="12808" max="12808" width="11.42578125" customWidth="1"/>
    <col min="12809" max="12809" width="16.140625" customWidth="1"/>
    <col min="12810" max="12810" width="6.85546875" customWidth="1"/>
    <col min="12811" max="12811" width="5.42578125" customWidth="1"/>
    <col min="12812" max="12812" width="17" customWidth="1"/>
    <col min="12814" max="12814" width="5.42578125" customWidth="1"/>
    <col min="12815" max="12815" width="15.7109375" customWidth="1"/>
    <col min="12817" max="12817" width="5.5703125" customWidth="1"/>
    <col min="13057" max="13057" width="18.140625" customWidth="1"/>
    <col min="13058" max="13058" width="7.7109375" customWidth="1"/>
    <col min="13059" max="13059" width="8.85546875" customWidth="1"/>
    <col min="13060" max="13060" width="14.42578125" customWidth="1"/>
    <col min="13061" max="13061" width="18.42578125" customWidth="1"/>
    <col min="13062" max="13063" width="7.42578125" customWidth="1"/>
    <col min="13064" max="13064" width="11.42578125" customWidth="1"/>
    <col min="13065" max="13065" width="16.140625" customWidth="1"/>
    <col min="13066" max="13066" width="6.85546875" customWidth="1"/>
    <col min="13067" max="13067" width="5.42578125" customWidth="1"/>
    <col min="13068" max="13068" width="17" customWidth="1"/>
    <col min="13070" max="13070" width="5.42578125" customWidth="1"/>
    <col min="13071" max="13071" width="15.7109375" customWidth="1"/>
    <col min="13073" max="13073" width="5.5703125" customWidth="1"/>
    <col min="13313" max="13313" width="18.140625" customWidth="1"/>
    <col min="13314" max="13314" width="7.7109375" customWidth="1"/>
    <col min="13315" max="13315" width="8.85546875" customWidth="1"/>
    <col min="13316" max="13316" width="14.42578125" customWidth="1"/>
    <col min="13317" max="13317" width="18.42578125" customWidth="1"/>
    <col min="13318" max="13319" width="7.42578125" customWidth="1"/>
    <col min="13320" max="13320" width="11.42578125" customWidth="1"/>
    <col min="13321" max="13321" width="16.140625" customWidth="1"/>
    <col min="13322" max="13322" width="6.85546875" customWidth="1"/>
    <col min="13323" max="13323" width="5.42578125" customWidth="1"/>
    <col min="13324" max="13324" width="17" customWidth="1"/>
    <col min="13326" max="13326" width="5.42578125" customWidth="1"/>
    <col min="13327" max="13327" width="15.7109375" customWidth="1"/>
    <col min="13329" max="13329" width="5.5703125" customWidth="1"/>
    <col min="13569" max="13569" width="18.140625" customWidth="1"/>
    <col min="13570" max="13570" width="7.7109375" customWidth="1"/>
    <col min="13571" max="13571" width="8.85546875" customWidth="1"/>
    <col min="13572" max="13572" width="14.42578125" customWidth="1"/>
    <col min="13573" max="13573" width="18.42578125" customWidth="1"/>
    <col min="13574" max="13575" width="7.42578125" customWidth="1"/>
    <col min="13576" max="13576" width="11.42578125" customWidth="1"/>
    <col min="13577" max="13577" width="16.140625" customWidth="1"/>
    <col min="13578" max="13578" width="6.85546875" customWidth="1"/>
    <col min="13579" max="13579" width="5.42578125" customWidth="1"/>
    <col min="13580" max="13580" width="17" customWidth="1"/>
    <col min="13582" max="13582" width="5.42578125" customWidth="1"/>
    <col min="13583" max="13583" width="15.7109375" customWidth="1"/>
    <col min="13585" max="13585" width="5.5703125" customWidth="1"/>
    <col min="13825" max="13825" width="18.140625" customWidth="1"/>
    <col min="13826" max="13826" width="7.7109375" customWidth="1"/>
    <col min="13827" max="13827" width="8.85546875" customWidth="1"/>
    <col min="13828" max="13828" width="14.42578125" customWidth="1"/>
    <col min="13829" max="13829" width="18.42578125" customWidth="1"/>
    <col min="13830" max="13831" width="7.42578125" customWidth="1"/>
    <col min="13832" max="13832" width="11.42578125" customWidth="1"/>
    <col min="13833" max="13833" width="16.140625" customWidth="1"/>
    <col min="13834" max="13834" width="6.85546875" customWidth="1"/>
    <col min="13835" max="13835" width="5.42578125" customWidth="1"/>
    <col min="13836" max="13836" width="17" customWidth="1"/>
    <col min="13838" max="13838" width="5.42578125" customWidth="1"/>
    <col min="13839" max="13839" width="15.7109375" customWidth="1"/>
    <col min="13841" max="13841" width="5.5703125" customWidth="1"/>
    <col min="14081" max="14081" width="18.140625" customWidth="1"/>
    <col min="14082" max="14082" width="7.7109375" customWidth="1"/>
    <col min="14083" max="14083" width="8.85546875" customWidth="1"/>
    <col min="14084" max="14084" width="14.42578125" customWidth="1"/>
    <col min="14085" max="14085" width="18.42578125" customWidth="1"/>
    <col min="14086" max="14087" width="7.42578125" customWidth="1"/>
    <col min="14088" max="14088" width="11.42578125" customWidth="1"/>
    <col min="14089" max="14089" width="16.140625" customWidth="1"/>
    <col min="14090" max="14090" width="6.85546875" customWidth="1"/>
    <col min="14091" max="14091" width="5.42578125" customWidth="1"/>
    <col min="14092" max="14092" width="17" customWidth="1"/>
    <col min="14094" max="14094" width="5.42578125" customWidth="1"/>
    <col min="14095" max="14095" width="15.7109375" customWidth="1"/>
    <col min="14097" max="14097" width="5.5703125" customWidth="1"/>
    <col min="14337" max="14337" width="18.140625" customWidth="1"/>
    <col min="14338" max="14338" width="7.7109375" customWidth="1"/>
    <col min="14339" max="14339" width="8.85546875" customWidth="1"/>
    <col min="14340" max="14340" width="14.42578125" customWidth="1"/>
    <col min="14341" max="14341" width="18.42578125" customWidth="1"/>
    <col min="14342" max="14343" width="7.42578125" customWidth="1"/>
    <col min="14344" max="14344" width="11.42578125" customWidth="1"/>
    <col min="14345" max="14345" width="16.140625" customWidth="1"/>
    <col min="14346" max="14346" width="6.85546875" customWidth="1"/>
    <col min="14347" max="14347" width="5.42578125" customWidth="1"/>
    <col min="14348" max="14348" width="17" customWidth="1"/>
    <col min="14350" max="14350" width="5.42578125" customWidth="1"/>
    <col min="14351" max="14351" width="15.7109375" customWidth="1"/>
    <col min="14353" max="14353" width="5.5703125" customWidth="1"/>
    <col min="14593" max="14593" width="18.140625" customWidth="1"/>
    <col min="14594" max="14594" width="7.7109375" customWidth="1"/>
    <col min="14595" max="14595" width="8.85546875" customWidth="1"/>
    <col min="14596" max="14596" width="14.42578125" customWidth="1"/>
    <col min="14597" max="14597" width="18.42578125" customWidth="1"/>
    <col min="14598" max="14599" width="7.42578125" customWidth="1"/>
    <col min="14600" max="14600" width="11.42578125" customWidth="1"/>
    <col min="14601" max="14601" width="16.140625" customWidth="1"/>
    <col min="14602" max="14602" width="6.85546875" customWidth="1"/>
    <col min="14603" max="14603" width="5.42578125" customWidth="1"/>
    <col min="14604" max="14604" width="17" customWidth="1"/>
    <col min="14606" max="14606" width="5.42578125" customWidth="1"/>
    <col min="14607" max="14607" width="15.7109375" customWidth="1"/>
    <col min="14609" max="14609" width="5.5703125" customWidth="1"/>
    <col min="14849" max="14849" width="18.140625" customWidth="1"/>
    <col min="14850" max="14850" width="7.7109375" customWidth="1"/>
    <col min="14851" max="14851" width="8.85546875" customWidth="1"/>
    <col min="14852" max="14852" width="14.42578125" customWidth="1"/>
    <col min="14853" max="14853" width="18.42578125" customWidth="1"/>
    <col min="14854" max="14855" width="7.42578125" customWidth="1"/>
    <col min="14856" max="14856" width="11.42578125" customWidth="1"/>
    <col min="14857" max="14857" width="16.140625" customWidth="1"/>
    <col min="14858" max="14858" width="6.85546875" customWidth="1"/>
    <col min="14859" max="14859" width="5.42578125" customWidth="1"/>
    <col min="14860" max="14860" width="17" customWidth="1"/>
    <col min="14862" max="14862" width="5.42578125" customWidth="1"/>
    <col min="14863" max="14863" width="15.7109375" customWidth="1"/>
    <col min="14865" max="14865" width="5.5703125" customWidth="1"/>
    <col min="15105" max="15105" width="18.140625" customWidth="1"/>
    <col min="15106" max="15106" width="7.7109375" customWidth="1"/>
    <col min="15107" max="15107" width="8.85546875" customWidth="1"/>
    <col min="15108" max="15108" width="14.42578125" customWidth="1"/>
    <col min="15109" max="15109" width="18.42578125" customWidth="1"/>
    <col min="15110" max="15111" width="7.42578125" customWidth="1"/>
    <col min="15112" max="15112" width="11.42578125" customWidth="1"/>
    <col min="15113" max="15113" width="16.140625" customWidth="1"/>
    <col min="15114" max="15114" width="6.85546875" customWidth="1"/>
    <col min="15115" max="15115" width="5.42578125" customWidth="1"/>
    <col min="15116" max="15116" width="17" customWidth="1"/>
    <col min="15118" max="15118" width="5.42578125" customWidth="1"/>
    <col min="15119" max="15119" width="15.7109375" customWidth="1"/>
    <col min="15121" max="15121" width="5.5703125" customWidth="1"/>
    <col min="15361" max="15361" width="18.140625" customWidth="1"/>
    <col min="15362" max="15362" width="7.7109375" customWidth="1"/>
    <col min="15363" max="15363" width="8.85546875" customWidth="1"/>
    <col min="15364" max="15364" width="14.42578125" customWidth="1"/>
    <col min="15365" max="15365" width="18.42578125" customWidth="1"/>
    <col min="15366" max="15367" width="7.42578125" customWidth="1"/>
    <col min="15368" max="15368" width="11.42578125" customWidth="1"/>
    <col min="15369" max="15369" width="16.140625" customWidth="1"/>
    <col min="15370" max="15370" width="6.85546875" customWidth="1"/>
    <col min="15371" max="15371" width="5.42578125" customWidth="1"/>
    <col min="15372" max="15372" width="17" customWidth="1"/>
    <col min="15374" max="15374" width="5.42578125" customWidth="1"/>
    <col min="15375" max="15375" width="15.7109375" customWidth="1"/>
    <col min="15377" max="15377" width="5.5703125" customWidth="1"/>
    <col min="15617" max="15617" width="18.140625" customWidth="1"/>
    <col min="15618" max="15618" width="7.7109375" customWidth="1"/>
    <col min="15619" max="15619" width="8.85546875" customWidth="1"/>
    <col min="15620" max="15620" width="14.42578125" customWidth="1"/>
    <col min="15621" max="15621" width="18.42578125" customWidth="1"/>
    <col min="15622" max="15623" width="7.42578125" customWidth="1"/>
    <col min="15624" max="15624" width="11.42578125" customWidth="1"/>
    <col min="15625" max="15625" width="16.140625" customWidth="1"/>
    <col min="15626" max="15626" width="6.85546875" customWidth="1"/>
    <col min="15627" max="15627" width="5.42578125" customWidth="1"/>
    <col min="15628" max="15628" width="17" customWidth="1"/>
    <col min="15630" max="15630" width="5.42578125" customWidth="1"/>
    <col min="15631" max="15631" width="15.7109375" customWidth="1"/>
    <col min="15633" max="15633" width="5.5703125" customWidth="1"/>
    <col min="15873" max="15873" width="18.140625" customWidth="1"/>
    <col min="15874" max="15874" width="7.7109375" customWidth="1"/>
    <col min="15875" max="15875" width="8.85546875" customWidth="1"/>
    <col min="15876" max="15876" width="14.42578125" customWidth="1"/>
    <col min="15877" max="15877" width="18.42578125" customWidth="1"/>
    <col min="15878" max="15879" width="7.42578125" customWidth="1"/>
    <col min="15880" max="15880" width="11.42578125" customWidth="1"/>
    <col min="15881" max="15881" width="16.140625" customWidth="1"/>
    <col min="15882" max="15882" width="6.85546875" customWidth="1"/>
    <col min="15883" max="15883" width="5.42578125" customWidth="1"/>
    <col min="15884" max="15884" width="17" customWidth="1"/>
    <col min="15886" max="15886" width="5.42578125" customWidth="1"/>
    <col min="15887" max="15887" width="15.7109375" customWidth="1"/>
    <col min="15889" max="15889" width="5.5703125" customWidth="1"/>
    <col min="16129" max="16129" width="18.140625" customWidth="1"/>
    <col min="16130" max="16130" width="7.7109375" customWidth="1"/>
    <col min="16131" max="16131" width="8.85546875" customWidth="1"/>
    <col min="16132" max="16132" width="14.42578125" customWidth="1"/>
    <col min="16133" max="16133" width="18.42578125" customWidth="1"/>
    <col min="16134" max="16135" width="7.42578125" customWidth="1"/>
    <col min="16136" max="16136" width="11.42578125" customWidth="1"/>
    <col min="16137" max="16137" width="16.140625" customWidth="1"/>
    <col min="16138" max="16138" width="6.85546875" customWidth="1"/>
    <col min="16139" max="16139" width="5.42578125" customWidth="1"/>
    <col min="16140" max="16140" width="17" customWidth="1"/>
    <col min="16142" max="16142" width="5.42578125" customWidth="1"/>
    <col min="16143" max="16143" width="15.7109375" customWidth="1"/>
    <col min="16145" max="16145" width="5.5703125" customWidth="1"/>
  </cols>
  <sheetData>
    <row r="1" spans="1:17" ht="23.25" x14ac:dyDescent="0.35">
      <c r="A1" s="375" t="s">
        <v>588</v>
      </c>
      <c r="B1" s="349"/>
      <c r="C1" s="349"/>
      <c r="D1" s="349"/>
      <c r="E1" s="352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</row>
    <row r="2" spans="1:17" x14ac:dyDescent="0.2">
      <c r="A2" s="352" t="s">
        <v>985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</row>
    <row r="4" spans="1:17" x14ac:dyDescent="0.2">
      <c r="A4" s="365" t="s">
        <v>598</v>
      </c>
      <c r="B4" s="364" t="s">
        <v>589</v>
      </c>
      <c r="C4" s="364"/>
      <c r="D4" s="350"/>
      <c r="E4" s="365" t="s">
        <v>986</v>
      </c>
      <c r="F4" s="364" t="s">
        <v>589</v>
      </c>
      <c r="G4" s="364"/>
      <c r="H4" s="349"/>
      <c r="I4" s="349"/>
      <c r="J4" s="349"/>
      <c r="K4" s="349"/>
      <c r="L4" s="349"/>
      <c r="M4" s="349"/>
      <c r="N4" s="349"/>
      <c r="O4" s="349"/>
      <c r="P4" s="349"/>
      <c r="Q4" s="349"/>
    </row>
    <row r="5" spans="1:17" s="184" customFormat="1" x14ac:dyDescent="0.2">
      <c r="A5" s="374" t="s">
        <v>342</v>
      </c>
      <c r="B5" s="368"/>
      <c r="C5" s="368"/>
      <c r="D5" s="361"/>
      <c r="E5" s="361" t="s">
        <v>7</v>
      </c>
      <c r="F5" s="368"/>
      <c r="G5" s="368"/>
      <c r="H5" s="352"/>
      <c r="I5" s="352"/>
      <c r="J5" s="350"/>
      <c r="K5" s="349"/>
      <c r="L5" s="349"/>
      <c r="M5" s="352"/>
      <c r="N5" s="352"/>
      <c r="O5" s="352"/>
      <c r="P5" s="352"/>
      <c r="Q5" s="352"/>
    </row>
    <row r="6" spans="1:17" s="184" customFormat="1" x14ac:dyDescent="0.2">
      <c r="A6" s="351" t="s">
        <v>266</v>
      </c>
      <c r="B6" s="368"/>
      <c r="C6" s="368"/>
      <c r="D6" s="373"/>
      <c r="E6" s="351" t="s">
        <v>379</v>
      </c>
      <c r="F6" s="368"/>
      <c r="G6" s="368"/>
      <c r="H6" s="352"/>
      <c r="I6" s="352"/>
      <c r="J6" s="350"/>
      <c r="K6" s="349"/>
      <c r="L6" s="349"/>
      <c r="M6" s="352"/>
      <c r="N6" s="372"/>
      <c r="O6" s="352"/>
      <c r="P6" s="352"/>
      <c r="Q6" s="363"/>
    </row>
    <row r="7" spans="1:17" s="184" customFormat="1" x14ac:dyDescent="0.2">
      <c r="A7" s="351" t="s">
        <v>942</v>
      </c>
      <c r="B7" s="368"/>
      <c r="C7" s="368"/>
      <c r="D7" s="361"/>
      <c r="E7" s="351" t="s">
        <v>286</v>
      </c>
      <c r="F7" s="368"/>
      <c r="G7" s="368"/>
      <c r="H7" s="352"/>
      <c r="I7" s="352"/>
      <c r="J7" s="350"/>
      <c r="K7" s="349"/>
      <c r="L7" s="349"/>
      <c r="M7" s="352"/>
      <c r="N7" s="352"/>
      <c r="O7" s="352"/>
      <c r="P7" s="352"/>
      <c r="Q7" s="363"/>
    </row>
    <row r="8" spans="1:17" s="184" customFormat="1" x14ac:dyDescent="0.2">
      <c r="A8" s="352" t="s">
        <v>91</v>
      </c>
      <c r="B8" s="371"/>
      <c r="C8" s="371"/>
      <c r="D8" s="361"/>
      <c r="E8" s="361" t="s">
        <v>290</v>
      </c>
      <c r="F8" s="371"/>
      <c r="G8" s="371"/>
      <c r="I8" s="352"/>
      <c r="J8" s="350"/>
      <c r="K8" s="349"/>
      <c r="L8" s="349"/>
      <c r="M8" s="352"/>
      <c r="N8" s="352"/>
      <c r="O8" s="352"/>
      <c r="P8" s="352"/>
      <c r="Q8" s="363"/>
    </row>
    <row r="9" spans="1:17" s="184" customFormat="1" x14ac:dyDescent="0.2">
      <c r="A9" s="361" t="s">
        <v>73</v>
      </c>
      <c r="C9" s="368"/>
      <c r="D9" s="361"/>
      <c r="E9" s="361" t="s">
        <v>289</v>
      </c>
      <c r="F9" s="368"/>
      <c r="G9" s="368"/>
      <c r="H9" s="370"/>
      <c r="I9" s="352"/>
      <c r="J9" s="366"/>
      <c r="K9" s="352"/>
      <c r="L9" s="349"/>
      <c r="M9" s="352"/>
      <c r="N9" s="352"/>
      <c r="O9" s="352"/>
      <c r="P9" s="352"/>
      <c r="Q9" s="352"/>
    </row>
    <row r="10" spans="1:17" s="184" customFormat="1" x14ac:dyDescent="0.2">
      <c r="A10" s="352"/>
      <c r="B10" s="368"/>
      <c r="C10" s="368"/>
      <c r="D10" s="361"/>
      <c r="E10" s="352"/>
      <c r="F10" s="368"/>
      <c r="G10" s="368"/>
      <c r="H10" s="351"/>
      <c r="I10" s="352"/>
      <c r="J10" s="366"/>
      <c r="K10" s="352"/>
      <c r="L10" s="349"/>
      <c r="M10" s="352"/>
      <c r="N10" s="352"/>
      <c r="O10" s="352"/>
      <c r="P10" s="352"/>
      <c r="Q10" s="352"/>
    </row>
    <row r="11" spans="1:17" s="184" customFormat="1" x14ac:dyDescent="0.2">
      <c r="A11" s="352"/>
      <c r="B11" s="366"/>
      <c r="C11" s="366"/>
      <c r="D11" s="351"/>
      <c r="E11" s="352"/>
      <c r="F11" s="366"/>
      <c r="G11" s="366"/>
      <c r="H11" s="351"/>
      <c r="I11" s="352"/>
      <c r="J11" s="366"/>
      <c r="K11" s="352"/>
      <c r="L11" s="349"/>
      <c r="M11" s="352"/>
      <c r="N11" s="352"/>
      <c r="O11" s="352"/>
      <c r="P11" s="352"/>
      <c r="Q11" s="352"/>
    </row>
    <row r="12" spans="1:17" x14ac:dyDescent="0.2">
      <c r="A12" s="369" t="s">
        <v>600</v>
      </c>
      <c r="B12" s="364" t="s">
        <v>590</v>
      </c>
      <c r="C12" s="364"/>
      <c r="D12" s="349"/>
      <c r="E12" s="369" t="s">
        <v>997</v>
      </c>
      <c r="F12" s="364" t="s">
        <v>590</v>
      </c>
      <c r="G12" s="364"/>
      <c r="H12" s="349"/>
      <c r="I12" s="349"/>
      <c r="J12" s="366"/>
      <c r="K12" s="349"/>
      <c r="L12" s="349"/>
      <c r="M12" s="349"/>
      <c r="N12" s="349"/>
      <c r="O12" s="349"/>
      <c r="P12" s="349"/>
      <c r="Q12" s="349"/>
    </row>
    <row r="13" spans="1:17" s="184" customFormat="1" x14ac:dyDescent="0.2">
      <c r="A13" s="351" t="s">
        <v>28</v>
      </c>
      <c r="B13" s="368"/>
      <c r="C13" s="368"/>
      <c r="D13" s="361"/>
      <c r="E13" s="361" t="s">
        <v>343</v>
      </c>
      <c r="F13" s="368"/>
      <c r="G13" s="368"/>
      <c r="H13" s="361"/>
      <c r="I13" s="361"/>
      <c r="J13" s="352"/>
      <c r="K13" s="352"/>
      <c r="L13" s="349"/>
      <c r="M13" s="352"/>
      <c r="N13" s="352"/>
      <c r="O13" s="352"/>
      <c r="P13" s="352"/>
      <c r="Q13" s="352"/>
    </row>
    <row r="14" spans="1:17" s="184" customFormat="1" x14ac:dyDescent="0.2">
      <c r="A14" s="361" t="s">
        <v>26</v>
      </c>
      <c r="B14" s="368"/>
      <c r="C14" s="368"/>
      <c r="D14" s="361"/>
      <c r="E14" s="361" t="s">
        <v>53</v>
      </c>
      <c r="F14" s="368"/>
      <c r="G14" s="368"/>
      <c r="H14" s="361"/>
      <c r="I14" s="361"/>
      <c r="J14" s="352"/>
      <c r="K14" s="352"/>
      <c r="L14" s="349"/>
      <c r="M14" s="352"/>
      <c r="N14" s="352"/>
      <c r="O14" s="352"/>
      <c r="P14" s="352"/>
      <c r="Q14" s="352"/>
    </row>
    <row r="15" spans="1:17" s="184" customFormat="1" x14ac:dyDescent="0.2">
      <c r="A15" s="351" t="s">
        <v>391</v>
      </c>
      <c r="B15" s="367"/>
      <c r="C15" s="367"/>
      <c r="D15" s="361"/>
      <c r="F15" s="367"/>
      <c r="G15" s="367"/>
      <c r="H15" s="361"/>
      <c r="I15" s="361"/>
      <c r="J15" s="352"/>
      <c r="K15" s="352"/>
      <c r="L15" s="349"/>
      <c r="M15" s="352"/>
      <c r="N15" s="352"/>
      <c r="O15" s="352"/>
      <c r="P15" s="352"/>
      <c r="Q15" s="352"/>
    </row>
    <row r="16" spans="1:17" x14ac:dyDescent="0.2">
      <c r="A16" s="349"/>
      <c r="B16" s="360"/>
      <c r="C16" s="360"/>
      <c r="D16" s="349"/>
      <c r="E16" s="349"/>
      <c r="F16" s="366"/>
      <c r="G16" s="366"/>
      <c r="H16" s="351"/>
      <c r="I16" s="349"/>
      <c r="J16" s="349"/>
      <c r="K16" s="349"/>
      <c r="L16" s="349"/>
      <c r="M16" s="349"/>
      <c r="N16" s="349"/>
      <c r="O16" s="349"/>
      <c r="P16" s="349"/>
      <c r="Q16" s="349"/>
    </row>
    <row r="17" spans="1:20" x14ac:dyDescent="0.2">
      <c r="A17" s="349"/>
      <c r="B17" s="349"/>
      <c r="C17" s="349"/>
      <c r="D17" s="349"/>
      <c r="E17" s="349"/>
      <c r="F17" s="349"/>
      <c r="G17" s="349"/>
      <c r="H17" s="349"/>
      <c r="I17" s="349"/>
      <c r="J17" s="349"/>
      <c r="K17" s="349"/>
      <c r="L17" s="349"/>
      <c r="M17" s="352"/>
      <c r="N17" s="349"/>
      <c r="O17" s="349"/>
      <c r="P17" s="349"/>
      <c r="Q17" s="349"/>
      <c r="R17" s="349"/>
      <c r="S17" s="349"/>
      <c r="T17" s="349"/>
    </row>
    <row r="18" spans="1:20" s="184" customFormat="1" x14ac:dyDescent="0.2">
      <c r="A18" s="365" t="s">
        <v>989</v>
      </c>
      <c r="B18" s="364" t="s">
        <v>592</v>
      </c>
      <c r="C18" s="364"/>
      <c r="D18" s="349"/>
      <c r="E18" s="365" t="s">
        <v>593</v>
      </c>
      <c r="F18" s="364" t="s">
        <v>594</v>
      </c>
      <c r="G18" s="364"/>
      <c r="H18" s="349"/>
      <c r="L18" s="349"/>
      <c r="M18" s="352"/>
      <c r="N18" s="350"/>
      <c r="O18" s="352"/>
      <c r="P18" s="349"/>
      <c r="Q18" s="352"/>
      <c r="R18" s="352"/>
      <c r="S18" s="352"/>
      <c r="T18" s="352"/>
    </row>
    <row r="19" spans="1:20" s="184" customFormat="1" x14ac:dyDescent="0.2">
      <c r="A19" s="361" t="s">
        <v>358</v>
      </c>
      <c r="B19" s="362"/>
      <c r="C19" s="362"/>
      <c r="D19" s="361"/>
      <c r="E19" s="361" t="s">
        <v>356</v>
      </c>
      <c r="F19" s="361"/>
      <c r="G19" s="361"/>
      <c r="H19" s="361"/>
      <c r="L19" s="352"/>
      <c r="M19" s="351"/>
      <c r="N19" s="360"/>
      <c r="O19" s="352"/>
      <c r="P19" s="349"/>
      <c r="Q19" s="352"/>
      <c r="R19" s="352"/>
      <c r="S19" s="352"/>
      <c r="T19" s="352"/>
    </row>
    <row r="20" spans="1:20" s="184" customFormat="1" x14ac:dyDescent="0.2">
      <c r="A20" s="361" t="s">
        <v>957</v>
      </c>
      <c r="B20" s="362"/>
      <c r="C20" s="362"/>
      <c r="D20" s="361"/>
      <c r="E20" s="352" t="s">
        <v>195</v>
      </c>
      <c r="F20" s="360"/>
      <c r="G20" s="360"/>
      <c r="H20" s="361"/>
      <c r="L20" s="352"/>
      <c r="M20" s="353"/>
      <c r="N20" s="350"/>
      <c r="O20" s="363"/>
      <c r="P20" s="349"/>
      <c r="Q20" s="352"/>
      <c r="R20" s="352"/>
      <c r="S20" s="352"/>
      <c r="T20" s="352"/>
    </row>
    <row r="21" spans="1:20" s="184" customFormat="1" x14ac:dyDescent="0.2">
      <c r="A21" s="361" t="s">
        <v>689</v>
      </c>
      <c r="B21" s="362"/>
      <c r="C21" s="362"/>
      <c r="D21" s="361"/>
      <c r="E21" s="352" t="s">
        <v>118</v>
      </c>
      <c r="F21" s="360"/>
      <c r="G21" s="360"/>
      <c r="H21" s="361"/>
      <c r="L21" s="352"/>
      <c r="M21" s="352"/>
      <c r="N21" s="360"/>
      <c r="O21" s="363"/>
      <c r="P21" s="349"/>
      <c r="Q21" s="352"/>
      <c r="R21" s="352"/>
      <c r="S21" s="352"/>
      <c r="T21" s="352"/>
    </row>
    <row r="22" spans="1:20" x14ac:dyDescent="0.2">
      <c r="A22" s="361" t="s">
        <v>295</v>
      </c>
      <c r="B22" s="362"/>
      <c r="C22" s="362"/>
      <c r="D22" s="361"/>
      <c r="E22" s="361"/>
      <c r="F22" s="362"/>
      <c r="G22" s="362"/>
      <c r="H22" s="361"/>
      <c r="I22" s="349"/>
      <c r="J22" s="349"/>
      <c r="K22" s="350"/>
      <c r="L22" s="352"/>
      <c r="M22" s="349"/>
      <c r="N22" s="360"/>
      <c r="O22" s="352"/>
      <c r="P22" s="349"/>
      <c r="Q22" s="349"/>
      <c r="R22" s="349"/>
      <c r="S22" s="352"/>
      <c r="T22" s="352"/>
    </row>
    <row r="23" spans="1:20" x14ac:dyDescent="0.2">
      <c r="A23" s="349"/>
      <c r="B23" s="349"/>
      <c r="D23" s="349"/>
      <c r="E23" s="349"/>
      <c r="F23" s="349"/>
      <c r="G23" s="349"/>
      <c r="H23" s="349"/>
      <c r="I23" s="349"/>
      <c r="J23" s="360"/>
      <c r="K23" s="352"/>
      <c r="L23" s="349"/>
      <c r="M23" s="349"/>
      <c r="N23" s="349"/>
      <c r="O23" s="352"/>
      <c r="P23" s="352"/>
      <c r="Q23" s="349"/>
      <c r="R23" s="349"/>
      <c r="S23" s="349"/>
      <c r="T23" s="349"/>
    </row>
    <row r="24" spans="1:20" x14ac:dyDescent="0.2">
      <c r="A24" s="359" t="s">
        <v>596</v>
      </c>
      <c r="B24" s="358"/>
      <c r="C24" s="358"/>
      <c r="D24" s="349"/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52"/>
      <c r="P24" s="352"/>
      <c r="Q24" s="352"/>
      <c r="R24" s="349"/>
      <c r="S24" s="349"/>
      <c r="T24" s="349"/>
    </row>
    <row r="25" spans="1:20" x14ac:dyDescent="0.2">
      <c r="A25" s="351" t="s">
        <v>66</v>
      </c>
      <c r="B25" s="358"/>
      <c r="C25" s="358"/>
      <c r="D25" s="349"/>
      <c r="E25" s="354" t="s">
        <v>261</v>
      </c>
      <c r="F25" s="360"/>
      <c r="G25" s="360"/>
      <c r="H25" s="349"/>
      <c r="I25" s="352" t="s">
        <v>993</v>
      </c>
      <c r="J25" s="349"/>
      <c r="K25" s="349"/>
      <c r="L25" s="365" t="s">
        <v>990</v>
      </c>
      <c r="M25" s="364" t="s">
        <v>991</v>
      </c>
      <c r="N25" s="364"/>
      <c r="O25" s="352"/>
      <c r="P25" s="352"/>
      <c r="Q25" s="352"/>
      <c r="R25" s="349"/>
      <c r="S25" s="349"/>
      <c r="T25" s="349"/>
    </row>
    <row r="26" spans="1:20" x14ac:dyDescent="0.2">
      <c r="A26" s="352" t="s">
        <v>96</v>
      </c>
      <c r="B26" s="358"/>
      <c r="C26" s="358"/>
      <c r="D26" s="349"/>
      <c r="E26" s="351" t="s">
        <v>502</v>
      </c>
      <c r="F26" s="349"/>
      <c r="G26" s="349"/>
      <c r="H26" s="349"/>
      <c r="I26" s="356" t="s">
        <v>74</v>
      </c>
      <c r="J26" s="349"/>
      <c r="K26" s="349"/>
      <c r="L26" s="184"/>
      <c r="M26" s="362"/>
      <c r="N26" s="362"/>
      <c r="O26" s="352"/>
      <c r="P26" s="352"/>
      <c r="Q26" s="352"/>
      <c r="R26" s="349"/>
      <c r="S26" s="349"/>
      <c r="T26" s="349"/>
    </row>
    <row r="27" spans="1:20" x14ac:dyDescent="0.2">
      <c r="A27" s="352" t="s">
        <v>994</v>
      </c>
      <c r="B27" s="349"/>
      <c r="C27" s="349"/>
      <c r="D27" s="349"/>
      <c r="E27" s="357" t="s">
        <v>101</v>
      </c>
      <c r="F27" s="349"/>
      <c r="G27" s="349"/>
      <c r="H27" s="349"/>
      <c r="I27" s="356" t="s">
        <v>78</v>
      </c>
      <c r="J27" s="349"/>
      <c r="K27" s="349"/>
      <c r="L27" s="184"/>
      <c r="M27" s="362"/>
      <c r="N27" s="362"/>
      <c r="O27" s="352"/>
      <c r="P27" s="352"/>
      <c r="Q27" s="352"/>
      <c r="R27" s="349"/>
      <c r="S27" s="349"/>
      <c r="T27" s="349"/>
    </row>
    <row r="28" spans="1:20" x14ac:dyDescent="0.2">
      <c r="A28" s="352" t="s">
        <v>264</v>
      </c>
      <c r="B28" s="349"/>
      <c r="C28" s="349"/>
      <c r="D28" s="349"/>
      <c r="E28" s="351"/>
      <c r="F28" s="349"/>
      <c r="G28" s="349"/>
      <c r="H28" s="349"/>
      <c r="I28" s="356" t="s">
        <v>90</v>
      </c>
      <c r="J28" s="349"/>
      <c r="K28" s="349"/>
      <c r="L28" s="356" t="s">
        <v>992</v>
      </c>
      <c r="M28" s="362"/>
      <c r="N28" s="362"/>
      <c r="O28" s="352"/>
      <c r="P28" s="352"/>
      <c r="Q28" s="352"/>
      <c r="R28" s="349"/>
      <c r="S28" s="349"/>
      <c r="T28" s="349"/>
    </row>
    <row r="29" spans="1:20" x14ac:dyDescent="0.2">
      <c r="A29" s="352" t="s">
        <v>23</v>
      </c>
      <c r="B29" s="349"/>
      <c r="C29" s="361"/>
      <c r="D29" s="349"/>
      <c r="E29" s="356" t="s">
        <v>987</v>
      </c>
      <c r="F29" s="349"/>
      <c r="G29" s="349"/>
      <c r="H29" s="349"/>
      <c r="I29" s="356" t="s">
        <v>6</v>
      </c>
      <c r="J29" s="349"/>
      <c r="K29" s="349"/>
      <c r="L29" s="349"/>
      <c r="M29" s="349"/>
      <c r="N29" s="349"/>
      <c r="O29" s="352"/>
      <c r="P29" s="352"/>
      <c r="Q29" s="352"/>
      <c r="R29" s="349"/>
      <c r="S29" s="349"/>
      <c r="T29" s="349"/>
    </row>
    <row r="30" spans="1:20" x14ac:dyDescent="0.2">
      <c r="A30" s="355" t="s">
        <v>119</v>
      </c>
      <c r="B30" s="349"/>
      <c r="C30" s="349"/>
      <c r="D30" s="349"/>
      <c r="E30" s="356" t="s">
        <v>988</v>
      </c>
      <c r="F30" s="349"/>
      <c r="G30" s="349"/>
      <c r="H30" s="349"/>
      <c r="I30" s="356" t="s">
        <v>265</v>
      </c>
      <c r="J30" s="349"/>
      <c r="K30" s="349"/>
      <c r="L30" s="349"/>
      <c r="M30" s="349"/>
      <c r="N30" s="349"/>
      <c r="O30" s="352"/>
      <c r="P30" s="352"/>
      <c r="Q30" s="352"/>
      <c r="R30" s="349"/>
      <c r="S30" s="349"/>
      <c r="T30" s="349"/>
    </row>
    <row r="31" spans="1:20" x14ac:dyDescent="0.2">
      <c r="A31" s="361" t="s">
        <v>4</v>
      </c>
      <c r="B31" s="349"/>
      <c r="C31" s="349"/>
      <c r="D31" s="349"/>
      <c r="E31" s="349"/>
      <c r="F31" s="349"/>
      <c r="G31" s="349"/>
      <c r="H31" s="349"/>
      <c r="I31" s="356" t="s">
        <v>371</v>
      </c>
      <c r="J31" s="349"/>
      <c r="K31" s="349"/>
      <c r="L31" s="349"/>
      <c r="M31" s="349"/>
      <c r="N31" s="349"/>
      <c r="O31" s="352"/>
      <c r="P31" s="352"/>
      <c r="Q31" s="352"/>
      <c r="R31" s="349"/>
      <c r="S31" s="349"/>
      <c r="T31" s="349"/>
    </row>
    <row r="32" spans="1:20" x14ac:dyDescent="0.2">
      <c r="B32" s="349"/>
      <c r="C32" s="349"/>
      <c r="D32" s="349"/>
      <c r="E32" s="349"/>
      <c r="F32" s="349"/>
      <c r="G32" s="349"/>
      <c r="H32" s="349"/>
      <c r="I32" s="356" t="s">
        <v>77</v>
      </c>
      <c r="J32" s="349"/>
      <c r="K32" s="349"/>
      <c r="L32" s="349"/>
      <c r="M32" s="349"/>
      <c r="N32" s="349"/>
      <c r="O32" s="352"/>
      <c r="P32" s="352"/>
      <c r="Q32" s="352"/>
      <c r="R32" s="349"/>
      <c r="S32" s="349"/>
      <c r="T32" s="349"/>
    </row>
    <row r="33" spans="1:17" x14ac:dyDescent="0.2">
      <c r="A33" s="349"/>
      <c r="B33" s="349"/>
      <c r="C33" s="349"/>
      <c r="D33" s="349"/>
      <c r="E33" s="355"/>
      <c r="F33" s="349"/>
      <c r="G33" s="349"/>
      <c r="H33" s="349"/>
      <c r="I33" s="349"/>
      <c r="J33" s="349"/>
      <c r="K33" s="349"/>
      <c r="L33" s="349"/>
      <c r="M33" s="349"/>
      <c r="N33" s="349"/>
      <c r="O33" s="352"/>
      <c r="P33" s="352"/>
      <c r="Q33" s="352"/>
    </row>
    <row r="34" spans="1:17" x14ac:dyDescent="0.2">
      <c r="A34" s="349"/>
      <c r="B34" s="349"/>
      <c r="C34" s="349"/>
      <c r="D34" s="349"/>
      <c r="E34" s="349"/>
      <c r="F34" s="349"/>
      <c r="G34" s="349"/>
      <c r="H34" s="349"/>
      <c r="I34" s="356" t="s">
        <v>995</v>
      </c>
      <c r="J34" s="349"/>
      <c r="K34" s="349"/>
      <c r="L34" s="349"/>
      <c r="M34" s="349"/>
      <c r="N34" s="349"/>
      <c r="O34" s="352"/>
      <c r="P34" s="352"/>
      <c r="Q34" s="352"/>
    </row>
    <row r="35" spans="1:17" x14ac:dyDescent="0.2">
      <c r="A35" s="349"/>
      <c r="B35" s="349"/>
      <c r="C35" s="349"/>
      <c r="D35" s="349"/>
      <c r="E35" s="349"/>
      <c r="F35" s="349"/>
      <c r="G35" s="349"/>
      <c r="H35" s="349"/>
      <c r="I35" s="356" t="s">
        <v>996</v>
      </c>
      <c r="J35" s="349"/>
      <c r="K35" s="349"/>
      <c r="L35" s="349"/>
      <c r="M35" s="349"/>
      <c r="N35" s="349"/>
      <c r="O35" s="352"/>
      <c r="P35" s="352"/>
      <c r="Q35" s="352"/>
    </row>
    <row r="36" spans="1:17" x14ac:dyDescent="0.2">
      <c r="A36" s="351"/>
      <c r="B36" s="349"/>
      <c r="C36" s="349"/>
      <c r="D36" s="349"/>
      <c r="E36" s="349"/>
      <c r="F36" s="349"/>
      <c r="G36" s="349"/>
      <c r="H36" s="349"/>
      <c r="J36" s="349"/>
      <c r="K36" s="349"/>
      <c r="L36" s="349"/>
      <c r="M36" s="349"/>
      <c r="N36" s="349"/>
      <c r="O36" s="352"/>
      <c r="P36" s="352"/>
      <c r="Q36" s="352"/>
    </row>
    <row r="37" spans="1:17" x14ac:dyDescent="0.2">
      <c r="A37" s="354"/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52"/>
      <c r="P37" s="352"/>
      <c r="Q37" s="349"/>
    </row>
    <row r="38" spans="1:17" x14ac:dyDescent="0.2">
      <c r="A38" s="349"/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52"/>
      <c r="P38" s="352"/>
      <c r="Q38" s="349"/>
    </row>
    <row r="39" spans="1:17" x14ac:dyDescent="0.2">
      <c r="A39" s="349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52"/>
      <c r="P39" s="352"/>
      <c r="Q39" s="349"/>
    </row>
    <row r="40" spans="1:17" x14ac:dyDescent="0.2">
      <c r="A40" s="351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</row>
    <row r="42" spans="1:17" ht="23.25" x14ac:dyDescent="0.35">
      <c r="A42" s="375" t="s">
        <v>588</v>
      </c>
      <c r="B42" s="349"/>
      <c r="C42" s="349"/>
      <c r="D42" s="349"/>
      <c r="E42" s="352" t="s">
        <v>601</v>
      </c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</row>
    <row r="43" spans="1:17" x14ac:dyDescent="0.2">
      <c r="A43" s="352" t="s">
        <v>597</v>
      </c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</row>
    <row r="45" spans="1:17" x14ac:dyDescent="0.2">
      <c r="A45" s="365" t="s">
        <v>598</v>
      </c>
      <c r="B45" s="364" t="s">
        <v>589</v>
      </c>
      <c r="C45" s="364" t="s">
        <v>608</v>
      </c>
      <c r="D45" s="350"/>
      <c r="E45" s="365" t="s">
        <v>599</v>
      </c>
      <c r="F45" s="364" t="s">
        <v>590</v>
      </c>
      <c r="G45" s="364" t="s">
        <v>610</v>
      </c>
      <c r="H45" s="349"/>
      <c r="I45" s="349"/>
      <c r="J45" s="349"/>
      <c r="K45" s="349"/>
      <c r="L45" s="349"/>
      <c r="M45" s="349"/>
      <c r="N45" s="349"/>
      <c r="O45" s="349"/>
      <c r="P45" s="349"/>
      <c r="Q45" s="349"/>
    </row>
    <row r="46" spans="1:17" x14ac:dyDescent="0.2">
      <c r="A46" s="374" t="s">
        <v>342</v>
      </c>
      <c r="B46" s="368" t="s">
        <v>602</v>
      </c>
      <c r="C46" s="368">
        <v>40.299999999999997</v>
      </c>
      <c r="D46" s="361"/>
      <c r="E46" s="351" t="s">
        <v>563</v>
      </c>
      <c r="F46" s="368" t="s">
        <v>602</v>
      </c>
      <c r="G46" s="368">
        <v>46.57</v>
      </c>
      <c r="H46" s="352"/>
      <c r="I46" s="349"/>
      <c r="J46" s="350"/>
      <c r="K46" s="349"/>
      <c r="L46" s="349"/>
      <c r="M46" s="352"/>
      <c r="N46" s="352"/>
      <c r="O46" s="352"/>
      <c r="P46" s="352"/>
      <c r="Q46" s="352"/>
    </row>
    <row r="47" spans="1:17" x14ac:dyDescent="0.2">
      <c r="A47" s="352" t="s">
        <v>91</v>
      </c>
      <c r="B47" s="368" t="s">
        <v>603</v>
      </c>
      <c r="C47" s="368">
        <v>38.01</v>
      </c>
      <c r="D47" s="373"/>
      <c r="E47" s="361" t="s">
        <v>290</v>
      </c>
      <c r="F47" s="368" t="s">
        <v>603</v>
      </c>
      <c r="G47" s="368">
        <v>51.39</v>
      </c>
      <c r="H47" s="352"/>
      <c r="I47" s="349"/>
      <c r="J47" s="350"/>
      <c r="K47" s="349"/>
      <c r="L47" s="349"/>
      <c r="M47" s="352"/>
      <c r="N47" s="372"/>
      <c r="O47" s="352"/>
      <c r="P47" s="352"/>
      <c r="Q47" s="363"/>
    </row>
    <row r="48" spans="1:17" x14ac:dyDescent="0.2">
      <c r="A48" s="351" t="s">
        <v>379</v>
      </c>
      <c r="B48" s="368" t="s">
        <v>604</v>
      </c>
      <c r="C48" s="368">
        <v>38.11</v>
      </c>
      <c r="D48" s="361"/>
      <c r="E48" s="361" t="s">
        <v>289</v>
      </c>
      <c r="F48" s="368" t="s">
        <v>604</v>
      </c>
      <c r="G48" s="368">
        <v>40.04</v>
      </c>
      <c r="H48" s="352"/>
      <c r="I48" s="349"/>
      <c r="J48" s="350"/>
      <c r="K48" s="349"/>
      <c r="L48" s="349"/>
      <c r="M48" s="352"/>
      <c r="N48" s="352"/>
      <c r="O48" s="352"/>
      <c r="P48" s="352"/>
      <c r="Q48" s="363"/>
    </row>
    <row r="49" spans="1:17" x14ac:dyDescent="0.2">
      <c r="A49" s="361" t="s">
        <v>274</v>
      </c>
      <c r="B49" s="371" t="s">
        <v>605</v>
      </c>
      <c r="C49" s="371">
        <v>27.28</v>
      </c>
      <c r="D49" s="361"/>
      <c r="E49" s="361" t="s">
        <v>23</v>
      </c>
      <c r="F49" s="371" t="s">
        <v>606</v>
      </c>
      <c r="G49" s="371">
        <v>31.51</v>
      </c>
      <c r="H49" s="352"/>
      <c r="I49" s="349"/>
      <c r="J49" s="350"/>
      <c r="K49" s="349"/>
      <c r="L49" s="349"/>
      <c r="M49" s="352"/>
      <c r="N49" s="352"/>
      <c r="O49" s="352"/>
      <c r="P49" s="352"/>
      <c r="Q49" s="363"/>
    </row>
    <row r="50" spans="1:17" x14ac:dyDescent="0.2">
      <c r="A50" s="361" t="s">
        <v>73</v>
      </c>
      <c r="B50" s="368" t="s">
        <v>606</v>
      </c>
      <c r="C50" s="368">
        <v>24.19</v>
      </c>
      <c r="D50" s="361"/>
      <c r="E50" s="361"/>
      <c r="F50" s="368"/>
      <c r="G50" s="368"/>
      <c r="H50" s="370"/>
      <c r="I50" s="352"/>
      <c r="J50" s="366"/>
      <c r="K50" s="352"/>
      <c r="L50" s="349"/>
      <c r="M50" s="352"/>
      <c r="N50" s="352"/>
      <c r="O50" s="352"/>
      <c r="P50" s="352"/>
      <c r="Q50" s="352"/>
    </row>
    <row r="51" spans="1:17" x14ac:dyDescent="0.2">
      <c r="A51" s="352"/>
      <c r="B51" s="368"/>
      <c r="C51" s="368"/>
      <c r="D51" s="361"/>
      <c r="E51" s="352"/>
      <c r="F51" s="368"/>
      <c r="G51" s="368"/>
      <c r="H51" s="351"/>
      <c r="I51" s="352"/>
      <c r="J51" s="366"/>
      <c r="K51" s="352"/>
      <c r="L51" s="349"/>
      <c r="M51" s="352"/>
      <c r="N51" s="352"/>
      <c r="O51" s="352"/>
      <c r="P51" s="352"/>
      <c r="Q51" s="352"/>
    </row>
    <row r="52" spans="1:17" x14ac:dyDescent="0.2">
      <c r="A52" s="352"/>
      <c r="B52" s="366"/>
      <c r="C52" s="366"/>
      <c r="D52" s="351"/>
      <c r="E52" s="352"/>
      <c r="F52" s="366"/>
      <c r="G52" s="366"/>
      <c r="H52" s="351"/>
      <c r="I52" s="352"/>
      <c r="J52" s="366"/>
      <c r="K52" s="352"/>
      <c r="L52" s="349"/>
      <c r="M52" s="352"/>
      <c r="N52" s="352"/>
      <c r="O52" s="352"/>
      <c r="P52" s="352"/>
      <c r="Q52" s="352"/>
    </row>
    <row r="53" spans="1:17" x14ac:dyDescent="0.2">
      <c r="A53" s="369" t="s">
        <v>600</v>
      </c>
      <c r="B53" s="364" t="s">
        <v>590</v>
      </c>
      <c r="C53" s="364" t="s">
        <v>595</v>
      </c>
      <c r="D53" s="349"/>
      <c r="E53" s="349"/>
      <c r="F53" s="349"/>
      <c r="G53" s="349"/>
      <c r="H53" s="349"/>
      <c r="I53" s="352"/>
      <c r="J53" s="366"/>
      <c r="K53" s="349"/>
      <c r="L53" s="349"/>
      <c r="M53" s="349"/>
      <c r="N53" s="349"/>
      <c r="O53" s="349"/>
      <c r="P53" s="349"/>
      <c r="Q53" s="349"/>
    </row>
    <row r="54" spans="1:17" x14ac:dyDescent="0.2">
      <c r="A54" s="361" t="s">
        <v>4</v>
      </c>
      <c r="B54" s="368" t="s">
        <v>602</v>
      </c>
      <c r="C54" s="368">
        <v>38.08</v>
      </c>
      <c r="D54" s="361"/>
      <c r="E54" s="352"/>
      <c r="F54" s="352"/>
      <c r="G54" s="352"/>
      <c r="H54" s="361"/>
      <c r="I54" s="361"/>
      <c r="J54" s="352"/>
      <c r="K54" s="352"/>
      <c r="L54" s="349"/>
      <c r="M54" s="352"/>
      <c r="N54" s="352"/>
      <c r="O54" s="352"/>
      <c r="P54" s="352"/>
      <c r="Q54" s="352"/>
    </row>
    <row r="55" spans="1:17" x14ac:dyDescent="0.2">
      <c r="A55" s="351" t="s">
        <v>28</v>
      </c>
      <c r="B55" s="368" t="s">
        <v>604</v>
      </c>
      <c r="C55" s="368">
        <v>33.44</v>
      </c>
      <c r="D55" s="361"/>
      <c r="E55" s="352"/>
      <c r="F55" s="352"/>
      <c r="G55" s="352"/>
      <c r="H55" s="361"/>
      <c r="I55" s="361"/>
      <c r="J55" s="352"/>
      <c r="K55" s="352"/>
      <c r="L55" s="349"/>
      <c r="M55" s="352"/>
      <c r="N55" s="352"/>
      <c r="O55" s="352"/>
      <c r="P55" s="352"/>
      <c r="Q55" s="352"/>
    </row>
    <row r="56" spans="1:17" x14ac:dyDescent="0.2">
      <c r="A56" s="361" t="s">
        <v>26</v>
      </c>
      <c r="B56" s="367" t="s">
        <v>606</v>
      </c>
      <c r="C56" s="367">
        <v>20.43</v>
      </c>
      <c r="D56" s="361"/>
      <c r="E56" s="352"/>
      <c r="F56" s="352"/>
      <c r="G56" s="352"/>
      <c r="H56" s="361"/>
      <c r="I56" s="361"/>
      <c r="J56" s="352"/>
      <c r="K56" s="352"/>
      <c r="L56" s="349"/>
      <c r="M56" s="352"/>
      <c r="N56" s="352"/>
      <c r="O56" s="352"/>
      <c r="P56" s="352"/>
      <c r="Q56" s="352"/>
    </row>
    <row r="57" spans="1:17" x14ac:dyDescent="0.2">
      <c r="A57" s="349"/>
      <c r="B57" s="360"/>
      <c r="C57" s="360"/>
      <c r="D57" s="349"/>
      <c r="E57" s="349"/>
      <c r="F57" s="366"/>
      <c r="G57" s="366"/>
      <c r="H57" s="351"/>
      <c r="I57" s="349"/>
      <c r="J57" s="349"/>
      <c r="K57" s="349"/>
      <c r="L57" s="349"/>
      <c r="M57" s="349"/>
      <c r="N57" s="349"/>
      <c r="O57" s="349"/>
      <c r="P57" s="349"/>
      <c r="Q57" s="349"/>
    </row>
    <row r="58" spans="1:17" x14ac:dyDescent="0.2">
      <c r="A58" s="349"/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52"/>
      <c r="N58" s="349"/>
      <c r="O58" s="349"/>
      <c r="P58" s="349"/>
      <c r="Q58" s="349"/>
    </row>
    <row r="59" spans="1:17" x14ac:dyDescent="0.2">
      <c r="A59" s="365" t="s">
        <v>591</v>
      </c>
      <c r="B59" s="364" t="s">
        <v>592</v>
      </c>
      <c r="C59" s="364" t="s">
        <v>611</v>
      </c>
      <c r="D59" s="349"/>
      <c r="E59" s="365" t="s">
        <v>593</v>
      </c>
      <c r="F59" s="364" t="s">
        <v>594</v>
      </c>
      <c r="G59" s="364" t="s">
        <v>609</v>
      </c>
      <c r="H59" s="349"/>
      <c r="I59" s="352"/>
      <c r="J59" s="350"/>
      <c r="K59" s="352"/>
      <c r="L59" s="349"/>
      <c r="M59" s="352"/>
      <c r="N59" s="352"/>
      <c r="O59" s="352"/>
      <c r="P59" s="352"/>
      <c r="Q59" s="352"/>
    </row>
    <row r="60" spans="1:17" x14ac:dyDescent="0.2">
      <c r="A60" s="361" t="s">
        <v>343</v>
      </c>
      <c r="B60" s="362" t="s">
        <v>602</v>
      </c>
      <c r="C60" s="362">
        <v>56.55</v>
      </c>
      <c r="D60" s="361"/>
      <c r="E60" s="361" t="s">
        <v>356</v>
      </c>
      <c r="F60" s="361" t="s">
        <v>603</v>
      </c>
      <c r="G60" s="361">
        <v>40.19</v>
      </c>
      <c r="H60" s="352"/>
      <c r="I60" s="352"/>
      <c r="J60" s="360"/>
      <c r="K60" s="352"/>
      <c r="L60" s="349"/>
      <c r="M60" s="352"/>
      <c r="N60" s="352"/>
      <c r="O60" s="352"/>
      <c r="P60" s="352"/>
      <c r="Q60" s="352"/>
    </row>
    <row r="61" spans="1:17" x14ac:dyDescent="0.2">
      <c r="A61" s="361" t="s">
        <v>295</v>
      </c>
      <c r="B61" s="362" t="s">
        <v>604</v>
      </c>
      <c r="C61" s="362">
        <v>48.1</v>
      </c>
      <c r="D61" s="361"/>
      <c r="E61" s="352" t="s">
        <v>195</v>
      </c>
      <c r="F61" s="360" t="s">
        <v>605</v>
      </c>
      <c r="G61" s="360">
        <v>28.19</v>
      </c>
      <c r="H61" s="352"/>
      <c r="I61" s="352"/>
      <c r="J61" s="350"/>
      <c r="K61" s="363"/>
      <c r="L61" s="349"/>
      <c r="M61" s="352"/>
      <c r="N61" s="352"/>
      <c r="O61" s="352"/>
      <c r="P61" s="352"/>
      <c r="Q61" s="352"/>
    </row>
    <row r="62" spans="1:17" x14ac:dyDescent="0.2">
      <c r="A62" s="361" t="s">
        <v>502</v>
      </c>
      <c r="B62" s="362" t="s">
        <v>605</v>
      </c>
      <c r="C62" s="362">
        <v>36.590000000000003</v>
      </c>
      <c r="D62" s="361"/>
      <c r="E62" s="352" t="s">
        <v>118</v>
      </c>
      <c r="F62" s="360" t="s">
        <v>606</v>
      </c>
      <c r="G62" s="360">
        <v>26</v>
      </c>
      <c r="H62" s="352"/>
      <c r="I62" s="352"/>
      <c r="J62" s="360"/>
      <c r="K62" s="363"/>
      <c r="L62" s="349"/>
      <c r="M62" s="352"/>
      <c r="N62" s="352"/>
      <c r="O62" s="352"/>
      <c r="P62" s="352"/>
      <c r="Q62" s="352"/>
    </row>
    <row r="63" spans="1:17" x14ac:dyDescent="0.2">
      <c r="A63" s="361" t="s">
        <v>386</v>
      </c>
      <c r="B63" s="362" t="s">
        <v>607</v>
      </c>
      <c r="C63" s="362">
        <v>27.48</v>
      </c>
      <c r="D63" s="361"/>
      <c r="E63" s="349"/>
      <c r="F63" s="349"/>
      <c r="G63" s="349"/>
      <c r="H63" s="352"/>
      <c r="I63" s="349"/>
      <c r="J63" s="360"/>
      <c r="K63" s="352"/>
      <c r="L63" s="349"/>
      <c r="M63" s="349"/>
      <c r="N63" s="349"/>
      <c r="O63" s="352"/>
      <c r="P63" s="352"/>
      <c r="Q63" s="349"/>
    </row>
    <row r="64" spans="1:17" x14ac:dyDescent="0.2">
      <c r="A64" s="349"/>
      <c r="B64" s="349"/>
      <c r="C64" s="349"/>
      <c r="D64" s="349"/>
      <c r="E64" s="349"/>
      <c r="F64" s="349"/>
      <c r="G64" s="349"/>
      <c r="H64" s="349"/>
      <c r="I64" s="349"/>
      <c r="J64" s="360"/>
      <c r="K64" s="352"/>
      <c r="L64" s="349"/>
      <c r="M64" s="349"/>
      <c r="N64" s="349"/>
      <c r="O64" s="352"/>
      <c r="P64" s="352"/>
      <c r="Q64" s="349"/>
    </row>
    <row r="65" spans="1:17" x14ac:dyDescent="0.2">
      <c r="A65" s="361"/>
      <c r="B65" s="358"/>
      <c r="C65" s="358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  <c r="O65" s="352"/>
      <c r="P65" s="352"/>
      <c r="Q65" s="352"/>
    </row>
    <row r="66" spans="1:17" x14ac:dyDescent="0.2">
      <c r="A66" s="349"/>
      <c r="B66" s="358"/>
      <c r="C66" s="358"/>
      <c r="D66" s="349"/>
      <c r="E66" s="349"/>
      <c r="F66" s="360"/>
      <c r="G66" s="360"/>
      <c r="H66" s="349"/>
      <c r="I66" s="349"/>
      <c r="J66" s="349"/>
      <c r="K66" s="349"/>
      <c r="L66" s="349"/>
      <c r="M66" s="349"/>
      <c r="N66" s="349"/>
      <c r="O66" s="352"/>
      <c r="P66" s="352"/>
      <c r="Q66" s="352"/>
    </row>
    <row r="67" spans="1:17" x14ac:dyDescent="0.2">
      <c r="A67" s="359" t="s">
        <v>596</v>
      </c>
      <c r="B67" s="358"/>
      <c r="C67" s="358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52"/>
      <c r="P67" s="352"/>
      <c r="Q67" s="352"/>
    </row>
    <row r="68" spans="1:17" x14ac:dyDescent="0.2">
      <c r="A68" s="351" t="s">
        <v>66</v>
      </c>
      <c r="B68" s="358"/>
      <c r="C68" s="358"/>
      <c r="D68" s="349"/>
      <c r="E68" s="354" t="s">
        <v>261</v>
      </c>
      <c r="F68" s="349"/>
      <c r="G68" s="349"/>
      <c r="H68" s="349"/>
      <c r="I68" s="349"/>
      <c r="J68" s="349"/>
      <c r="K68" s="349"/>
      <c r="L68" s="349"/>
      <c r="M68" s="349"/>
      <c r="N68" s="349"/>
      <c r="O68" s="352"/>
      <c r="P68" s="352"/>
      <c r="Q68" s="352"/>
    </row>
    <row r="69" spans="1:17" x14ac:dyDescent="0.2">
      <c r="A69" s="356" t="s">
        <v>74</v>
      </c>
      <c r="B69" s="358"/>
      <c r="C69" s="358"/>
      <c r="D69" s="349"/>
      <c r="E69" s="351" t="s">
        <v>296</v>
      </c>
      <c r="F69" s="349"/>
      <c r="G69" s="349"/>
      <c r="H69" s="349"/>
      <c r="I69" s="349"/>
      <c r="J69" s="349"/>
      <c r="K69" s="349"/>
      <c r="L69" s="349"/>
      <c r="M69" s="349"/>
      <c r="N69" s="349"/>
      <c r="O69" s="352"/>
      <c r="P69" s="352"/>
      <c r="Q69" s="352"/>
    </row>
    <row r="70" spans="1:17" x14ac:dyDescent="0.2">
      <c r="A70" s="351" t="s">
        <v>77</v>
      </c>
      <c r="B70" s="349"/>
      <c r="C70" s="349"/>
      <c r="D70" s="349"/>
      <c r="E70" s="357" t="s">
        <v>55</v>
      </c>
      <c r="F70" s="349"/>
      <c r="G70" s="349"/>
      <c r="H70" s="349"/>
      <c r="I70" s="349"/>
      <c r="J70" s="349"/>
      <c r="K70" s="349"/>
      <c r="L70" s="349"/>
      <c r="M70" s="349"/>
      <c r="N70" s="349"/>
      <c r="O70" s="352"/>
      <c r="P70" s="352"/>
      <c r="Q70" s="352"/>
    </row>
    <row r="71" spans="1:17" x14ac:dyDescent="0.2">
      <c r="A71" s="356" t="s">
        <v>78</v>
      </c>
      <c r="B71" s="349"/>
      <c r="C71" s="349"/>
      <c r="D71" s="349"/>
      <c r="E71" s="351"/>
      <c r="F71" s="349"/>
      <c r="G71" s="349"/>
      <c r="H71" s="349"/>
      <c r="I71" s="349"/>
      <c r="J71" s="349"/>
      <c r="K71" s="349"/>
      <c r="L71" s="349"/>
      <c r="M71" s="349"/>
      <c r="N71" s="349"/>
      <c r="O71" s="352"/>
      <c r="P71" s="352"/>
      <c r="Q71" s="352"/>
    </row>
    <row r="72" spans="1:17" x14ac:dyDescent="0.2">
      <c r="A72" s="351" t="s">
        <v>90</v>
      </c>
      <c r="B72" s="349"/>
      <c r="C72" s="349"/>
      <c r="D72" s="349"/>
      <c r="E72" s="351"/>
      <c r="F72" s="349"/>
      <c r="G72" s="349"/>
      <c r="H72" s="349"/>
      <c r="I72" s="349"/>
      <c r="J72" s="349"/>
      <c r="K72" s="349"/>
      <c r="L72" s="349"/>
      <c r="M72" s="349"/>
      <c r="N72" s="349"/>
      <c r="O72" s="352"/>
      <c r="P72" s="352"/>
      <c r="Q72" s="352"/>
    </row>
    <row r="73" spans="1:17" x14ac:dyDescent="0.2">
      <c r="A73" s="351" t="s">
        <v>6</v>
      </c>
      <c r="B73" s="349"/>
      <c r="C73" s="349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52"/>
      <c r="P73" s="352"/>
      <c r="Q73" s="352"/>
    </row>
    <row r="74" spans="1:17" x14ac:dyDescent="0.2">
      <c r="A74" s="352" t="s">
        <v>265</v>
      </c>
      <c r="B74" s="349"/>
      <c r="C74" s="349"/>
      <c r="D74" s="349"/>
      <c r="E74" s="355"/>
      <c r="F74" s="349"/>
      <c r="G74" s="349"/>
      <c r="H74" s="349"/>
      <c r="I74" s="349"/>
      <c r="J74" s="349"/>
      <c r="K74" s="349"/>
      <c r="L74" s="349"/>
      <c r="M74" s="349"/>
      <c r="N74" s="349"/>
      <c r="O74" s="352"/>
      <c r="P74" s="352"/>
      <c r="Q74" s="352"/>
    </row>
    <row r="75" spans="1:17" x14ac:dyDescent="0.2">
      <c r="A75" s="352" t="s">
        <v>371</v>
      </c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52"/>
      <c r="P75" s="352"/>
      <c r="Q75" s="352"/>
    </row>
    <row r="76" spans="1:17" x14ac:dyDescent="0.2">
      <c r="A76" s="355" t="s">
        <v>119</v>
      </c>
      <c r="B76" s="349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52"/>
      <c r="P76" s="352"/>
      <c r="Q76" s="352"/>
    </row>
    <row r="77" spans="1:17" x14ac:dyDescent="0.2">
      <c r="A77" s="351" t="s">
        <v>98</v>
      </c>
      <c r="B77" s="349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52"/>
      <c r="P77" s="352"/>
      <c r="Q77" s="352"/>
    </row>
    <row r="78" spans="1:17" x14ac:dyDescent="0.2">
      <c r="A78" s="354" t="s">
        <v>7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52"/>
      <c r="P78" s="352"/>
      <c r="Q78" s="349"/>
    </row>
    <row r="79" spans="1:17" x14ac:dyDescent="0.2">
      <c r="A79" s="351" t="s">
        <v>174</v>
      </c>
      <c r="B79" s="349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352"/>
      <c r="P79" s="352"/>
      <c r="Q79" s="349"/>
    </row>
    <row r="80" spans="1:17" x14ac:dyDescent="0.2">
      <c r="A80" s="353" t="s">
        <v>125</v>
      </c>
      <c r="B80" s="349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352"/>
      <c r="P80" s="352"/>
      <c r="Q80" s="349"/>
    </row>
    <row r="81" spans="1:1" x14ac:dyDescent="0.2">
      <c r="A81" s="351" t="s">
        <v>394</v>
      </c>
    </row>
  </sheetData>
  <pageMargins left="0.74803149606299213" right="0.74803149606299213" top="0.98425196850393704" bottom="0.98425196850393704" header="0.51181102362204722" footer="0.51181102362204722"/>
  <pageSetup paperSize="9" scale="110" orientation="landscape" horizont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L72"/>
  <sheetViews>
    <sheetView showGridLines="0" topLeftCell="A10" workbookViewId="0">
      <selection activeCell="D38" sqref="D38"/>
    </sheetView>
  </sheetViews>
  <sheetFormatPr defaultRowHeight="12.75" x14ac:dyDescent="0.2"/>
  <cols>
    <col min="1" max="1" width="5.140625" customWidth="1"/>
    <col min="5" max="5" width="0" hidden="1" customWidth="1"/>
  </cols>
  <sheetData>
    <row r="1" spans="1:15" x14ac:dyDescent="0.2">
      <c r="A1" t="s">
        <v>418</v>
      </c>
      <c r="D1" s="184" t="s">
        <v>626</v>
      </c>
      <c r="M1" s="319" t="s">
        <v>645</v>
      </c>
    </row>
    <row r="2" spans="1:15" x14ac:dyDescent="0.2">
      <c r="M2" t="s">
        <v>408</v>
      </c>
    </row>
    <row r="3" spans="1:15" x14ac:dyDescent="0.2">
      <c r="A3" s="261" t="s">
        <v>390</v>
      </c>
      <c r="B3" s="257" t="s">
        <v>388</v>
      </c>
      <c r="C3" s="258"/>
      <c r="D3" s="258" t="s">
        <v>387</v>
      </c>
      <c r="M3" t="s">
        <v>409</v>
      </c>
    </row>
    <row r="4" spans="1:15" x14ac:dyDescent="0.2">
      <c r="A4" s="259">
        <v>1</v>
      </c>
      <c r="B4" s="253" t="s">
        <v>26</v>
      </c>
      <c r="C4" s="254"/>
      <c r="D4" s="340">
        <v>60</v>
      </c>
      <c r="M4" t="s">
        <v>410</v>
      </c>
      <c r="N4">
        <v>660</v>
      </c>
    </row>
    <row r="5" spans="1:15" x14ac:dyDescent="0.2">
      <c r="A5" s="259">
        <v>2</v>
      </c>
      <c r="B5" s="253" t="s">
        <v>386</v>
      </c>
      <c r="C5" s="254"/>
      <c r="D5" s="340">
        <v>60</v>
      </c>
      <c r="M5" t="s">
        <v>411</v>
      </c>
      <c r="N5">
        <v>11</v>
      </c>
    </row>
    <row r="6" spans="1:15" x14ac:dyDescent="0.2">
      <c r="A6" s="259">
        <v>3</v>
      </c>
      <c r="B6" s="253" t="s">
        <v>289</v>
      </c>
      <c r="C6" s="254"/>
      <c r="D6" s="340">
        <v>60</v>
      </c>
      <c r="M6" s="184" t="s">
        <v>412</v>
      </c>
      <c r="N6" t="s">
        <v>642</v>
      </c>
    </row>
    <row r="7" spans="1:15" x14ac:dyDescent="0.2">
      <c r="A7" s="259">
        <v>4</v>
      </c>
      <c r="B7" s="253" t="s">
        <v>290</v>
      </c>
      <c r="C7" s="254"/>
      <c r="D7" s="340">
        <v>60</v>
      </c>
    </row>
    <row r="8" spans="1:15" x14ac:dyDescent="0.2">
      <c r="A8" s="259">
        <v>5</v>
      </c>
      <c r="B8" s="253" t="s">
        <v>343</v>
      </c>
      <c r="C8" s="254"/>
      <c r="D8" s="340">
        <v>60</v>
      </c>
      <c r="M8" t="s">
        <v>413</v>
      </c>
    </row>
    <row r="9" spans="1:15" x14ac:dyDescent="0.2">
      <c r="A9" s="259">
        <v>6</v>
      </c>
      <c r="B9" s="253" t="s">
        <v>91</v>
      </c>
      <c r="C9" s="254"/>
      <c r="D9" s="340">
        <v>40</v>
      </c>
      <c r="M9" t="s">
        <v>643</v>
      </c>
    </row>
    <row r="10" spans="1:15" x14ac:dyDescent="0.2">
      <c r="A10" s="259">
        <v>7</v>
      </c>
      <c r="B10" s="262" t="s">
        <v>4</v>
      </c>
      <c r="C10" s="254"/>
      <c r="D10" s="340">
        <v>60</v>
      </c>
      <c r="M10" t="s">
        <v>414</v>
      </c>
    </row>
    <row r="11" spans="1:15" x14ac:dyDescent="0.2">
      <c r="A11" s="259">
        <v>8</v>
      </c>
      <c r="B11" s="262" t="s">
        <v>118</v>
      </c>
      <c r="C11" s="254"/>
      <c r="D11" s="340">
        <v>40</v>
      </c>
      <c r="M11" t="s">
        <v>644</v>
      </c>
    </row>
    <row r="12" spans="1:15" x14ac:dyDescent="0.2">
      <c r="A12" s="259">
        <v>9</v>
      </c>
      <c r="B12" s="262" t="s">
        <v>391</v>
      </c>
      <c r="C12" s="254"/>
      <c r="D12" s="340">
        <v>60</v>
      </c>
      <c r="M12" t="s">
        <v>415</v>
      </c>
    </row>
    <row r="13" spans="1:15" x14ac:dyDescent="0.2">
      <c r="A13" s="259">
        <v>10</v>
      </c>
      <c r="B13" s="262" t="s">
        <v>195</v>
      </c>
      <c r="C13" s="254"/>
      <c r="D13" s="340">
        <v>60</v>
      </c>
    </row>
    <row r="14" spans="1:15" x14ac:dyDescent="0.2">
      <c r="A14" s="260">
        <v>11</v>
      </c>
      <c r="B14" s="265" t="s">
        <v>502</v>
      </c>
      <c r="C14" s="256"/>
      <c r="D14" s="341">
        <v>60</v>
      </c>
      <c r="M14" s="184" t="s">
        <v>416</v>
      </c>
      <c r="O14" s="266" t="s">
        <v>417</v>
      </c>
    </row>
    <row r="15" spans="1:15" x14ac:dyDescent="0.2">
      <c r="B15" s="264" t="s">
        <v>295</v>
      </c>
      <c r="D15" s="343">
        <v>60</v>
      </c>
    </row>
    <row r="16" spans="1:15" x14ac:dyDescent="0.2">
      <c r="B16" s="264" t="s">
        <v>957</v>
      </c>
      <c r="D16" s="343">
        <v>60</v>
      </c>
    </row>
    <row r="18" spans="1:19" x14ac:dyDescent="0.2">
      <c r="A18" t="s">
        <v>389</v>
      </c>
      <c r="D18" s="184" t="s">
        <v>627</v>
      </c>
      <c r="E18" s="184" t="s">
        <v>406</v>
      </c>
    </row>
    <row r="19" spans="1:19" x14ac:dyDescent="0.2">
      <c r="A19" s="184" t="s">
        <v>983</v>
      </c>
      <c r="M19" s="184" t="s">
        <v>419</v>
      </c>
      <c r="N19" s="184"/>
      <c r="O19" s="184"/>
      <c r="P19" s="184"/>
      <c r="Q19" s="184"/>
    </row>
    <row r="20" spans="1:19" x14ac:dyDescent="0.2">
      <c r="A20" s="257" t="s">
        <v>390</v>
      </c>
      <c r="B20" s="257" t="s">
        <v>388</v>
      </c>
      <c r="C20" s="258"/>
      <c r="D20" s="258" t="s">
        <v>387</v>
      </c>
      <c r="M20" s="266" t="s">
        <v>420</v>
      </c>
      <c r="N20" s="267"/>
      <c r="O20" s="184"/>
      <c r="P20" s="184"/>
      <c r="Q20" s="184"/>
      <c r="R20" s="184"/>
    </row>
    <row r="21" spans="1:19" x14ac:dyDescent="0.2">
      <c r="A21" s="251">
        <v>1</v>
      </c>
      <c r="B21" s="263" t="s">
        <v>91</v>
      </c>
      <c r="C21" s="252"/>
      <c r="D21" s="252">
        <v>40</v>
      </c>
      <c r="E21" s="184" t="s">
        <v>407</v>
      </c>
      <c r="M21" s="184" t="s">
        <v>421</v>
      </c>
      <c r="N21" s="184"/>
      <c r="O21" s="184"/>
      <c r="P21" s="184"/>
      <c r="Q21" s="184"/>
      <c r="R21" s="184"/>
    </row>
    <row r="22" spans="1:19" x14ac:dyDescent="0.2">
      <c r="A22" s="253">
        <v>2</v>
      </c>
      <c r="B22" s="262" t="s">
        <v>73</v>
      </c>
      <c r="C22" s="254"/>
      <c r="D22" s="254">
        <v>70</v>
      </c>
      <c r="M22" s="184" t="s">
        <v>409</v>
      </c>
      <c r="N22" s="184"/>
      <c r="O22" s="270" t="s">
        <v>641</v>
      </c>
      <c r="P22" s="184"/>
      <c r="Q22" s="184"/>
      <c r="R22" s="184"/>
    </row>
    <row r="23" spans="1:19" x14ac:dyDescent="0.2">
      <c r="A23" s="253">
        <v>3</v>
      </c>
      <c r="B23" s="262" t="s">
        <v>195</v>
      </c>
      <c r="C23" s="254"/>
      <c r="D23" s="254">
        <v>70</v>
      </c>
      <c r="E23" s="184" t="s">
        <v>407</v>
      </c>
      <c r="M23" s="184" t="s">
        <v>410</v>
      </c>
      <c r="N23" s="271">
        <v>720</v>
      </c>
      <c r="O23" s="184"/>
      <c r="P23" s="184"/>
      <c r="Q23" s="184"/>
      <c r="R23" s="184"/>
    </row>
    <row r="24" spans="1:19" x14ac:dyDescent="0.2">
      <c r="A24" s="253">
        <v>4</v>
      </c>
      <c r="B24" s="262" t="s">
        <v>391</v>
      </c>
      <c r="C24" s="254"/>
      <c r="D24" s="254">
        <v>70</v>
      </c>
      <c r="E24" t="s">
        <v>407</v>
      </c>
      <c r="M24" s="184" t="s">
        <v>411</v>
      </c>
      <c r="N24" s="184">
        <v>10</v>
      </c>
      <c r="O24" s="184"/>
      <c r="P24" s="184"/>
      <c r="Q24" s="184"/>
      <c r="R24" s="184"/>
    </row>
    <row r="25" spans="1:19" x14ac:dyDescent="0.2">
      <c r="A25" s="253">
        <v>5</v>
      </c>
      <c r="B25" s="253" t="s">
        <v>343</v>
      </c>
      <c r="C25" s="254"/>
      <c r="D25" s="254">
        <v>70</v>
      </c>
      <c r="E25" s="184" t="s">
        <v>407</v>
      </c>
      <c r="M25" s="184" t="s">
        <v>412</v>
      </c>
      <c r="N25" s="272" t="s">
        <v>422</v>
      </c>
      <c r="O25" s="184"/>
      <c r="P25" s="184"/>
      <c r="Q25" s="184"/>
      <c r="R25" s="184"/>
    </row>
    <row r="26" spans="1:19" ht="15.75" x14ac:dyDescent="0.25">
      <c r="A26" s="253">
        <v>6</v>
      </c>
      <c r="B26" s="253" t="s">
        <v>118</v>
      </c>
      <c r="C26" s="254"/>
      <c r="D26" s="254">
        <v>70</v>
      </c>
      <c r="E26" s="184" t="s">
        <v>407</v>
      </c>
      <c r="M26" s="308"/>
      <c r="N26" s="184"/>
      <c r="O26" s="184"/>
      <c r="P26" s="184"/>
      <c r="Q26" s="184"/>
      <c r="R26" s="184"/>
    </row>
    <row r="27" spans="1:19" x14ac:dyDescent="0.2">
      <c r="A27" s="253">
        <v>7</v>
      </c>
      <c r="B27" s="262" t="s">
        <v>342</v>
      </c>
      <c r="C27" s="254"/>
      <c r="D27" s="254">
        <v>120</v>
      </c>
      <c r="E27" s="184" t="s">
        <v>407</v>
      </c>
      <c r="M27" s="184"/>
      <c r="N27" s="184"/>
      <c r="O27" s="184"/>
      <c r="P27" s="184"/>
      <c r="Q27" s="184"/>
      <c r="R27" s="184"/>
    </row>
    <row r="28" spans="1:19" x14ac:dyDescent="0.2">
      <c r="A28" s="253">
        <v>8</v>
      </c>
      <c r="B28" s="262" t="s">
        <v>295</v>
      </c>
      <c r="C28" s="254"/>
      <c r="D28" s="254">
        <v>50</v>
      </c>
      <c r="E28" s="184" t="s">
        <v>407</v>
      </c>
      <c r="M28" s="184"/>
      <c r="N28" s="184"/>
      <c r="O28" s="184"/>
      <c r="P28" s="184"/>
      <c r="Q28" s="184"/>
      <c r="R28" s="184"/>
    </row>
    <row r="29" spans="1:19" x14ac:dyDescent="0.2">
      <c r="A29" s="253">
        <v>9</v>
      </c>
      <c r="B29" s="262" t="s">
        <v>687</v>
      </c>
      <c r="C29" s="254"/>
      <c r="D29" s="254">
        <v>50</v>
      </c>
      <c r="M29" s="184"/>
      <c r="N29" s="184"/>
      <c r="O29" s="184"/>
      <c r="P29" s="184"/>
      <c r="Q29" s="184"/>
      <c r="R29" s="184"/>
    </row>
    <row r="30" spans="1:19" x14ac:dyDescent="0.2">
      <c r="A30" s="255">
        <v>10</v>
      </c>
      <c r="B30" s="265" t="s">
        <v>358</v>
      </c>
      <c r="C30" s="256"/>
      <c r="D30" s="256">
        <v>40</v>
      </c>
      <c r="E30" s="184" t="s">
        <v>407</v>
      </c>
      <c r="M30" s="184"/>
      <c r="N30" s="184"/>
      <c r="O30" s="184"/>
      <c r="P30" s="184"/>
      <c r="Q30" s="184"/>
      <c r="R30" s="184"/>
      <c r="S30" s="305"/>
    </row>
    <row r="31" spans="1:19" x14ac:dyDescent="0.2">
      <c r="M31" s="184"/>
      <c r="N31" s="184"/>
      <c r="O31" s="184"/>
      <c r="P31" s="184"/>
      <c r="Q31" s="184"/>
      <c r="R31" s="184"/>
    </row>
    <row r="32" spans="1:19" x14ac:dyDescent="0.2">
      <c r="A32" s="184" t="s">
        <v>984</v>
      </c>
      <c r="M32" s="184" t="s">
        <v>629</v>
      </c>
      <c r="N32" s="184"/>
      <c r="O32" s="184"/>
      <c r="P32" s="184"/>
      <c r="Q32" s="184"/>
      <c r="R32" s="184"/>
    </row>
    <row r="33" spans="1:18" x14ac:dyDescent="0.2">
      <c r="A33" s="251">
        <v>1</v>
      </c>
      <c r="B33" s="251" t="s">
        <v>26</v>
      </c>
      <c r="C33" s="252"/>
      <c r="D33" s="252">
        <v>70</v>
      </c>
      <c r="E33" s="184" t="s">
        <v>407</v>
      </c>
      <c r="M33" s="269" t="s">
        <v>631</v>
      </c>
      <c r="N33" s="184"/>
      <c r="O33" s="184"/>
      <c r="P33" s="184"/>
      <c r="Q33" s="184"/>
      <c r="R33" s="184"/>
    </row>
    <row r="34" spans="1:18" x14ac:dyDescent="0.2">
      <c r="A34" s="253">
        <v>2</v>
      </c>
      <c r="B34" s="264" t="s">
        <v>386</v>
      </c>
      <c r="C34" s="254"/>
      <c r="D34" s="254">
        <v>70</v>
      </c>
      <c r="E34" t="s">
        <v>407</v>
      </c>
      <c r="M34" s="268" t="s">
        <v>632</v>
      </c>
      <c r="N34" s="184"/>
      <c r="O34" s="184"/>
      <c r="P34" s="184"/>
      <c r="Q34" s="184"/>
      <c r="R34" s="184"/>
    </row>
    <row r="35" spans="1:18" x14ac:dyDescent="0.2">
      <c r="A35" s="253">
        <v>3</v>
      </c>
      <c r="B35" s="264" t="s">
        <v>289</v>
      </c>
      <c r="C35" s="254"/>
      <c r="D35" s="254">
        <v>70</v>
      </c>
      <c r="E35" s="184" t="s">
        <v>407</v>
      </c>
      <c r="M35" s="184" t="s">
        <v>409</v>
      </c>
      <c r="N35" s="184"/>
      <c r="O35" s="266" t="s">
        <v>628</v>
      </c>
      <c r="P35" s="184"/>
      <c r="Q35" s="184"/>
      <c r="R35" s="184"/>
    </row>
    <row r="36" spans="1:18" x14ac:dyDescent="0.2">
      <c r="A36" s="253">
        <v>4</v>
      </c>
      <c r="B36" s="264" t="s">
        <v>290</v>
      </c>
      <c r="C36" s="254"/>
      <c r="D36" s="254">
        <v>70</v>
      </c>
      <c r="E36" s="184" t="s">
        <v>407</v>
      </c>
      <c r="M36" s="184" t="s">
        <v>410</v>
      </c>
      <c r="N36" s="271">
        <v>690</v>
      </c>
      <c r="O36" s="184"/>
      <c r="P36" s="184"/>
      <c r="Q36" s="184"/>
      <c r="R36" s="184"/>
    </row>
    <row r="37" spans="1:18" x14ac:dyDescent="0.2">
      <c r="A37" s="253">
        <v>5</v>
      </c>
      <c r="B37" s="262" t="s">
        <v>356</v>
      </c>
      <c r="C37" s="254"/>
      <c r="D37" s="254"/>
      <c r="M37" s="184" t="s">
        <v>411</v>
      </c>
      <c r="N37" s="184">
        <v>11</v>
      </c>
      <c r="O37" s="184"/>
      <c r="P37" s="184"/>
      <c r="Q37" s="184"/>
      <c r="R37" s="184"/>
    </row>
    <row r="38" spans="1:18" x14ac:dyDescent="0.2">
      <c r="A38" s="253">
        <v>6</v>
      </c>
      <c r="B38" s="262" t="s">
        <v>286</v>
      </c>
      <c r="C38" s="254"/>
      <c r="D38" s="254"/>
      <c r="M38" s="184" t="s">
        <v>412</v>
      </c>
      <c r="N38" s="184" t="s">
        <v>630</v>
      </c>
      <c r="O38" s="184"/>
      <c r="P38" s="184"/>
      <c r="Q38" s="184"/>
      <c r="R38" s="184"/>
    </row>
    <row r="39" spans="1:18" x14ac:dyDescent="0.2">
      <c r="A39" s="253">
        <v>7</v>
      </c>
      <c r="B39" s="262" t="s">
        <v>53</v>
      </c>
      <c r="C39" s="254"/>
      <c r="D39" s="254">
        <v>70</v>
      </c>
      <c r="E39" s="184" t="s">
        <v>407</v>
      </c>
      <c r="M39" s="184"/>
      <c r="N39" s="184"/>
      <c r="O39" s="184"/>
      <c r="P39" s="184"/>
      <c r="Q39" s="184"/>
      <c r="R39" s="184"/>
    </row>
    <row r="40" spans="1:18" x14ac:dyDescent="0.2">
      <c r="A40" s="253">
        <v>8</v>
      </c>
      <c r="B40" s="262" t="s">
        <v>7</v>
      </c>
      <c r="C40" s="254"/>
      <c r="D40" s="254">
        <v>70</v>
      </c>
      <c r="N40" s="184"/>
      <c r="O40" s="184"/>
      <c r="P40" s="184"/>
      <c r="Q40" s="184"/>
      <c r="R40" s="184"/>
    </row>
    <row r="41" spans="1:18" x14ac:dyDescent="0.2">
      <c r="A41" s="253">
        <v>9</v>
      </c>
      <c r="B41" s="262" t="s">
        <v>942</v>
      </c>
      <c r="C41" s="254"/>
      <c r="D41" s="254"/>
      <c r="M41" s="267" t="s">
        <v>633</v>
      </c>
      <c r="N41" s="184"/>
      <c r="O41" s="184"/>
      <c r="P41" s="184"/>
      <c r="Q41" s="184"/>
      <c r="R41" s="184"/>
    </row>
    <row r="42" spans="1:18" x14ac:dyDescent="0.2">
      <c r="A42" s="253">
        <v>10</v>
      </c>
      <c r="B42" s="262" t="s">
        <v>4</v>
      </c>
      <c r="C42" s="254"/>
      <c r="D42" s="254">
        <v>70</v>
      </c>
      <c r="E42" s="184" t="s">
        <v>407</v>
      </c>
      <c r="M42" s="318" t="s">
        <v>639</v>
      </c>
      <c r="N42" s="184"/>
      <c r="O42" s="184"/>
      <c r="P42" s="184"/>
      <c r="Q42" s="184"/>
      <c r="R42" s="184"/>
    </row>
    <row r="43" spans="1:18" x14ac:dyDescent="0.2">
      <c r="A43" s="255">
        <v>11</v>
      </c>
      <c r="B43" s="265" t="s">
        <v>5</v>
      </c>
      <c r="C43" s="256"/>
      <c r="D43" s="256">
        <v>70</v>
      </c>
      <c r="M43" s="267" t="s">
        <v>634</v>
      </c>
      <c r="N43" s="184"/>
      <c r="O43" s="184"/>
      <c r="P43" s="184"/>
      <c r="Q43" s="184"/>
      <c r="R43" s="184"/>
    </row>
    <row r="44" spans="1:18" x14ac:dyDescent="0.2">
      <c r="M44" s="267" t="s">
        <v>635</v>
      </c>
      <c r="Q44" s="184"/>
      <c r="R44" s="184"/>
    </row>
    <row r="45" spans="1:18" x14ac:dyDescent="0.2">
      <c r="B45" s="202" t="s">
        <v>503</v>
      </c>
      <c r="M45" s="267" t="s">
        <v>636</v>
      </c>
      <c r="R45" s="184"/>
    </row>
    <row r="46" spans="1:18" x14ac:dyDescent="0.2">
      <c r="A46">
        <v>1</v>
      </c>
      <c r="B46" s="268"/>
      <c r="M46" s="267" t="s">
        <v>637</v>
      </c>
    </row>
    <row r="47" spans="1:18" x14ac:dyDescent="0.2">
      <c r="A47">
        <v>2</v>
      </c>
      <c r="B47" s="280"/>
      <c r="M47" s="267" t="s">
        <v>638</v>
      </c>
    </row>
    <row r="49" spans="1:38" x14ac:dyDescent="0.2">
      <c r="M49" s="267"/>
    </row>
    <row r="51" spans="1:38" x14ac:dyDescent="0.2">
      <c r="A51" t="s">
        <v>659</v>
      </c>
      <c r="D51" t="s">
        <v>660</v>
      </c>
    </row>
    <row r="52" spans="1:38" x14ac:dyDescent="0.2">
      <c r="A52" s="261" t="s">
        <v>390</v>
      </c>
      <c r="B52" s="257" t="s">
        <v>388</v>
      </c>
      <c r="C52" s="258"/>
      <c r="D52" s="258" t="s">
        <v>387</v>
      </c>
      <c r="M52" s="184" t="s">
        <v>943</v>
      </c>
      <c r="AK52" t="s">
        <v>662</v>
      </c>
    </row>
    <row r="53" spans="1:38" ht="15" customHeight="1" x14ac:dyDescent="0.2">
      <c r="A53" s="259">
        <v>1</v>
      </c>
      <c r="B53" s="253" t="s">
        <v>26</v>
      </c>
      <c r="C53" s="254"/>
      <c r="D53" s="340">
        <v>400</v>
      </c>
      <c r="M53" s="184" t="s">
        <v>944</v>
      </c>
      <c r="AK53" t="s">
        <v>663</v>
      </c>
    </row>
    <row r="54" spans="1:38" x14ac:dyDescent="0.2">
      <c r="A54" s="259">
        <v>2</v>
      </c>
      <c r="B54" s="253" t="s">
        <v>386</v>
      </c>
      <c r="C54" s="254"/>
      <c r="D54" s="340">
        <v>400</v>
      </c>
      <c r="M54" s="188" t="s">
        <v>700</v>
      </c>
      <c r="AK54" t="s">
        <v>665</v>
      </c>
    </row>
    <row r="55" spans="1:38" x14ac:dyDescent="0.2">
      <c r="A55" s="259">
        <v>3</v>
      </c>
      <c r="B55" s="253" t="s">
        <v>289</v>
      </c>
      <c r="C55" s="254"/>
      <c r="D55" s="340">
        <v>400</v>
      </c>
      <c r="M55" s="332" t="s">
        <v>946</v>
      </c>
      <c r="AK55" t="s">
        <v>664</v>
      </c>
    </row>
    <row r="56" spans="1:38" x14ac:dyDescent="0.2">
      <c r="A56" s="259">
        <v>4</v>
      </c>
      <c r="B56" s="253" t="s">
        <v>290</v>
      </c>
      <c r="C56" s="254"/>
      <c r="D56" s="340">
        <v>400</v>
      </c>
      <c r="M56" s="331"/>
    </row>
    <row r="57" spans="1:38" x14ac:dyDescent="0.2">
      <c r="A57" s="259">
        <v>5</v>
      </c>
      <c r="B57" s="253" t="s">
        <v>343</v>
      </c>
      <c r="C57" s="254"/>
      <c r="D57" s="340">
        <v>400</v>
      </c>
      <c r="M57" s="331"/>
      <c r="AK57" s="184" t="s">
        <v>666</v>
      </c>
      <c r="AL57" s="320">
        <v>4336</v>
      </c>
    </row>
    <row r="58" spans="1:38" x14ac:dyDescent="0.2">
      <c r="A58" s="259">
        <v>6</v>
      </c>
      <c r="B58" s="262" t="s">
        <v>118</v>
      </c>
      <c r="C58" s="254"/>
      <c r="D58" s="340">
        <v>400</v>
      </c>
      <c r="M58" s="332" t="s">
        <v>945</v>
      </c>
      <c r="AK58" s="184" t="s">
        <v>667</v>
      </c>
      <c r="AL58">
        <v>13</v>
      </c>
    </row>
    <row r="59" spans="1:38" x14ac:dyDescent="0.2">
      <c r="A59" s="259">
        <v>7</v>
      </c>
      <c r="B59" s="262" t="s">
        <v>4</v>
      </c>
      <c r="C59" s="254"/>
      <c r="D59" s="342">
        <v>400</v>
      </c>
      <c r="AK59" s="184" t="s">
        <v>412</v>
      </c>
    </row>
    <row r="60" spans="1:38" x14ac:dyDescent="0.2">
      <c r="A60" s="259">
        <v>8</v>
      </c>
      <c r="B60" s="262" t="s">
        <v>661</v>
      </c>
      <c r="C60" s="254"/>
      <c r="D60" s="340">
        <v>400</v>
      </c>
      <c r="M60" s="184" t="s">
        <v>666</v>
      </c>
      <c r="N60" s="320">
        <v>7780</v>
      </c>
    </row>
    <row r="61" spans="1:38" x14ac:dyDescent="0.2">
      <c r="A61" s="259">
        <v>9</v>
      </c>
      <c r="B61" s="262" t="s">
        <v>391</v>
      </c>
      <c r="C61" s="254"/>
      <c r="D61" s="340">
        <v>400</v>
      </c>
      <c r="M61" s="184" t="s">
        <v>667</v>
      </c>
      <c r="N61">
        <v>12</v>
      </c>
    </row>
    <row r="62" spans="1:38" x14ac:dyDescent="0.2">
      <c r="A62" s="259">
        <v>10</v>
      </c>
      <c r="B62" s="262" t="s">
        <v>195</v>
      </c>
      <c r="C62" s="254"/>
      <c r="D62" s="343">
        <v>400</v>
      </c>
      <c r="M62" s="184" t="s">
        <v>955</v>
      </c>
    </row>
    <row r="63" spans="1:38" x14ac:dyDescent="0.2">
      <c r="A63" s="260">
        <v>11</v>
      </c>
      <c r="B63" s="265" t="s">
        <v>358</v>
      </c>
      <c r="C63" s="256"/>
      <c r="D63" s="341"/>
    </row>
    <row r="64" spans="1:38" x14ac:dyDescent="0.2">
      <c r="M64" s="267" t="s">
        <v>947</v>
      </c>
    </row>
    <row r="65" spans="13:13" x14ac:dyDescent="0.2">
      <c r="M65" s="267" t="s">
        <v>948</v>
      </c>
    </row>
    <row r="66" spans="13:13" x14ac:dyDescent="0.2">
      <c r="M66" s="267" t="s">
        <v>949</v>
      </c>
    </row>
    <row r="67" spans="13:13" x14ac:dyDescent="0.2">
      <c r="M67" s="267" t="s">
        <v>950</v>
      </c>
    </row>
    <row r="68" spans="13:13" x14ac:dyDescent="0.2">
      <c r="M68" s="267" t="s">
        <v>951</v>
      </c>
    </row>
    <row r="69" spans="13:13" x14ac:dyDescent="0.2">
      <c r="M69" s="267" t="s">
        <v>952</v>
      </c>
    </row>
    <row r="70" spans="13:13" x14ac:dyDescent="0.2">
      <c r="M70" s="267" t="s">
        <v>953</v>
      </c>
    </row>
    <row r="71" spans="13:13" x14ac:dyDescent="0.2">
      <c r="M71" s="267"/>
    </row>
    <row r="72" spans="13:13" x14ac:dyDescent="0.2">
      <c r="M72" s="267" t="s">
        <v>954</v>
      </c>
    </row>
  </sheetData>
  <hyperlinks>
    <hyperlink ref="M1" r:id="rId1" location="overview"/>
    <hyperlink ref="O14" r:id="rId2"/>
    <hyperlink ref="M55" r:id="rId3" location="search/bliss/15c358f98d6104c5"/>
    <hyperlink ref="M58" r:id="rId4"/>
  </hyperlinks>
  <pageMargins left="0.70866141732283472" right="0.70866141732283472" top="0.74803149606299213" bottom="0.15748031496062992" header="0.31496062992125984" footer="0.31496062992125984"/>
  <pageSetup paperSize="9" scale="90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10</vt:i4>
      </vt:variant>
    </vt:vector>
  </HeadingPairs>
  <TitlesOfParts>
    <vt:vector size="18" baseType="lpstr">
      <vt:lpstr>Results</vt:lpstr>
      <vt:lpstr>Club Trophy</vt:lpstr>
      <vt:lpstr>Jells Relay</vt:lpstr>
      <vt:lpstr>Road Relays</vt:lpstr>
      <vt:lpstr>Tan Relays</vt:lpstr>
      <vt:lpstr>Athletes</vt:lpstr>
      <vt:lpstr>Ekiden Relay</vt:lpstr>
      <vt:lpstr>Weekends</vt:lpstr>
      <vt:lpstr>Athletes!Print_Area</vt:lpstr>
      <vt:lpstr>'Club Trophy'!Print_Area</vt:lpstr>
      <vt:lpstr>'Ekiden Relay'!Print_Area</vt:lpstr>
      <vt:lpstr>'Jells Relay'!Print_Area</vt:lpstr>
      <vt:lpstr>Results!Print_Area</vt:lpstr>
      <vt:lpstr>'Road Relays'!Print_Area</vt:lpstr>
      <vt:lpstr>'Tan Relays'!Print_Area</vt:lpstr>
      <vt:lpstr>Weekends!Print_Area</vt:lpstr>
      <vt:lpstr>Athletes!Print_Titles</vt:lpstr>
      <vt:lpstr>Results!Print_Titles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and Vicky</dc:creator>
  <cp:lastModifiedBy>CWK</cp:lastModifiedBy>
  <cp:lastPrinted>2017-07-29T07:30:18Z</cp:lastPrinted>
  <dcterms:created xsi:type="dcterms:W3CDTF">2001-06-03T13:48:08Z</dcterms:created>
  <dcterms:modified xsi:type="dcterms:W3CDTF">2018-01-13T06:31:54Z</dcterms:modified>
</cp:coreProperties>
</file>